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rección de Administración y Finanzas\Administracion y Finanzas\5.REPORTERÍA AYF\2026\3) IGM 2026\"/>
    </mc:Choice>
  </mc:AlternateContent>
  <xr:revisionPtr revIDLastSave="0" documentId="13_ncr:1_{699EB6F8-5F54-4F64-91C8-5A7031D9E985}" xr6:coauthVersionLast="47" xr6:coauthVersionMax="47" xr10:uidLastSave="{00000000-0000-0000-0000-000000000000}"/>
  <bookViews>
    <workbookView xWindow="-120" yWindow="-120" windowWidth="29040" windowHeight="15720" tabRatio="788" xr2:uid="{476687BC-5FFF-41EF-AF5F-2DDB8C215B3E}"/>
  </bookViews>
  <sheets>
    <sheet name="Reporte" sheetId="6" r:id="rId1"/>
    <sheet name="PPTO HISTORICO" sheetId="17" r:id="rId2"/>
    <sheet name="OC Acumulado" sheetId="11" r:id="rId3"/>
    <sheet name="Compras Mayo" sheetId="36" r:id="rId4"/>
    <sheet name="Compras Abril" sheetId="35" r:id="rId5"/>
    <sheet name="Compras Marzo" sheetId="33" r:id="rId6"/>
    <sheet name="Compras Febrero" sheetId="32" r:id="rId7"/>
    <sheet name="Compras Enero" sheetId="31" r:id="rId8"/>
  </sheets>
  <definedNames>
    <definedName name="_xlnm._FilterDatabase" localSheetId="7" hidden="1">'Compras Enero'!$B$2:$S$7</definedName>
    <definedName name="_xlnm._FilterDatabase" localSheetId="2" hidden="1">'OC Acumulado'!$B$2:$S$8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3" i="11" l="1"/>
  <c r="S32" i="11"/>
  <c r="S31" i="11"/>
  <c r="S30" i="11"/>
  <c r="G25" i="6"/>
  <c r="G24" i="6"/>
  <c r="G23" i="6"/>
  <c r="G22" i="6"/>
  <c r="G21" i="6"/>
  <c r="G16" i="6"/>
  <c r="G15" i="6"/>
  <c r="G14" i="6"/>
  <c r="G13" i="6"/>
  <c r="G12" i="6"/>
  <c r="D34" i="11"/>
  <c r="D6" i="36"/>
  <c r="S5" i="36"/>
  <c r="S4" i="36"/>
  <c r="S3" i="36"/>
  <c r="S2" i="36"/>
  <c r="F31" i="6"/>
  <c r="F32" i="6" s="1"/>
  <c r="C47" i="6"/>
  <c r="F25" i="6"/>
  <c r="F24" i="6"/>
  <c r="F23" i="6"/>
  <c r="F22" i="6"/>
  <c r="F21" i="6"/>
  <c r="F27" i="6"/>
  <c r="F16" i="6"/>
  <c r="F15" i="6"/>
  <c r="F14" i="6"/>
  <c r="F13" i="6"/>
  <c r="F12" i="6"/>
  <c r="D29" i="11"/>
  <c r="S28" i="11"/>
  <c r="S27" i="11"/>
  <c r="S26" i="11"/>
  <c r="S25" i="11"/>
  <c r="S24" i="11"/>
  <c r="S23" i="11"/>
  <c r="S22" i="11"/>
  <c r="S21" i="11"/>
  <c r="S20" i="11"/>
  <c r="S11" i="35"/>
  <c r="S3" i="35"/>
  <c r="S4" i="35"/>
  <c r="S5" i="35"/>
  <c r="S6" i="35"/>
  <c r="S7" i="35"/>
  <c r="S8" i="35"/>
  <c r="S9" i="35"/>
  <c r="S10" i="35"/>
  <c r="D11" i="35"/>
  <c r="S2" i="35"/>
  <c r="E32" i="6"/>
  <c r="E31" i="6"/>
  <c r="E27" i="6"/>
  <c r="E25" i="6"/>
  <c r="E24" i="6"/>
  <c r="E23" i="6"/>
  <c r="E22" i="6"/>
  <c r="E21" i="6"/>
  <c r="E16" i="6"/>
  <c r="E15" i="6"/>
  <c r="E14" i="6"/>
  <c r="E13" i="6"/>
  <c r="E12" i="6"/>
  <c r="D19" i="11"/>
  <c r="S18" i="11"/>
  <c r="S17" i="11"/>
  <c r="S16" i="11"/>
  <c r="S6" i="36" l="1"/>
  <c r="G27" i="6" s="1"/>
  <c r="S34" i="11"/>
  <c r="S29" i="11"/>
  <c r="S19" i="11"/>
  <c r="S4" i="33"/>
  <c r="S3" i="33"/>
  <c r="D5" i="33"/>
  <c r="S2" i="33"/>
  <c r="D32" i="6"/>
  <c r="O31" i="6"/>
  <c r="O30" i="6"/>
  <c r="D31" i="6"/>
  <c r="S14" i="11"/>
  <c r="S13" i="11"/>
  <c r="S12" i="11"/>
  <c r="S11" i="11"/>
  <c r="S10" i="11"/>
  <c r="S9" i="11"/>
  <c r="S7" i="32"/>
  <c r="S6" i="32"/>
  <c r="S5" i="32"/>
  <c r="S4" i="32"/>
  <c r="S3" i="32"/>
  <c r="S2" i="32"/>
  <c r="S8" i="32" s="1"/>
  <c r="D25" i="6"/>
  <c r="D24" i="6"/>
  <c r="D23" i="6"/>
  <c r="D22" i="6"/>
  <c r="D21" i="6"/>
  <c r="D16" i="6"/>
  <c r="D15" i="6"/>
  <c r="D14" i="6"/>
  <c r="D13" i="6"/>
  <c r="D12" i="6"/>
  <c r="T36" i="11"/>
  <c r="D15" i="11"/>
  <c r="D8" i="32"/>
  <c r="S9" i="17"/>
  <c r="T6" i="17"/>
  <c r="T7" i="17" s="1"/>
  <c r="C51" i="17" s="1"/>
  <c r="T5" i="17"/>
  <c r="E50" i="17"/>
  <c r="F50" i="17"/>
  <c r="G50" i="17" s="1"/>
  <c r="H50" i="17" s="1"/>
  <c r="I50" i="17" s="1"/>
  <c r="J50" i="17" s="1"/>
  <c r="K50" i="17" s="1"/>
  <c r="L50" i="17" s="1"/>
  <c r="M50" i="17" s="1"/>
  <c r="N50" i="17" s="1"/>
  <c r="D50" i="17"/>
  <c r="C50" i="17"/>
  <c r="S8" i="17"/>
  <c r="S7" i="11"/>
  <c r="S6" i="11"/>
  <c r="S5" i="11"/>
  <c r="S4" i="11"/>
  <c r="S3" i="11"/>
  <c r="D51" i="17" l="1"/>
  <c r="N51" i="17"/>
  <c r="E51" i="17"/>
  <c r="D27" i="6"/>
  <c r="S5" i="33"/>
  <c r="H51" i="17"/>
  <c r="J51" i="17"/>
  <c r="I51" i="17"/>
  <c r="G51" i="17"/>
  <c r="T8" i="17"/>
  <c r="T9" i="17" s="1"/>
  <c r="F51" i="17"/>
  <c r="M51" i="17"/>
  <c r="L51" i="17"/>
  <c r="K51" i="17"/>
  <c r="S15" i="11"/>
  <c r="S7" i="31"/>
  <c r="S6" i="31"/>
  <c r="S5" i="31"/>
  <c r="S4" i="31"/>
  <c r="S3" i="31"/>
  <c r="S2" i="31"/>
  <c r="C45" i="17" l="1"/>
  <c r="D45" i="17" l="1"/>
  <c r="E45" i="17" l="1"/>
  <c r="F45" i="17" l="1"/>
  <c r="G45" i="17" l="1"/>
  <c r="H45" i="17" l="1"/>
  <c r="I45" i="17" l="1"/>
  <c r="J45" i="17" l="1"/>
  <c r="K45" i="17" l="1"/>
  <c r="L45" i="17" l="1"/>
  <c r="M45" i="17" l="1"/>
  <c r="N45" i="17" l="1"/>
  <c r="C33" i="17"/>
  <c r="C7" i="6"/>
  <c r="S7" i="17" l="1"/>
  <c r="C46" i="17" l="1"/>
  <c r="D46" i="17"/>
  <c r="E46" i="17"/>
  <c r="F46" i="17"/>
  <c r="G46" i="17"/>
  <c r="H46" i="17"/>
  <c r="I46" i="17"/>
  <c r="J46" i="17"/>
  <c r="K46" i="17"/>
  <c r="L46" i="17"/>
  <c r="M46" i="17"/>
  <c r="N46" i="17"/>
  <c r="C31" i="6"/>
  <c r="R7" i="17"/>
  <c r="R6" i="17"/>
  <c r="M26" i="6" l="1"/>
  <c r="O5" i="6"/>
  <c r="O6" i="6"/>
  <c r="C27" i="6"/>
  <c r="J17" i="6"/>
  <c r="E17" i="6"/>
  <c r="E8" i="6" s="1"/>
  <c r="D8" i="11"/>
  <c r="D7" i="31"/>
  <c r="I17" i="6"/>
  <c r="C12" i="6"/>
  <c r="D17" i="6"/>
  <c r="D8" i="6" s="1"/>
  <c r="F17" i="6"/>
  <c r="F8" i="6" s="1"/>
  <c r="G17" i="6"/>
  <c r="G8" i="6" s="1"/>
  <c r="H17" i="6"/>
  <c r="C21" i="6"/>
  <c r="C22" i="6"/>
  <c r="C23" i="6"/>
  <c r="C24" i="6"/>
  <c r="C25" i="6"/>
  <c r="F26" i="6"/>
  <c r="N26" i="6"/>
  <c r="C13" i="6"/>
  <c r="C14" i="6"/>
  <c r="C15" i="6"/>
  <c r="C16" i="6"/>
  <c r="I45" i="6"/>
  <c r="D40" i="6"/>
  <c r="E40" i="6"/>
  <c r="F40" i="6"/>
  <c r="G40" i="6"/>
  <c r="H40" i="6"/>
  <c r="I40" i="6"/>
  <c r="J40" i="6"/>
  <c r="K40" i="6"/>
  <c r="L40" i="6"/>
  <c r="M40" i="6"/>
  <c r="N40" i="6"/>
  <c r="C40" i="6"/>
  <c r="G26" i="6"/>
  <c r="O38" i="6"/>
  <c r="O39" i="6"/>
  <c r="O37" i="6"/>
  <c r="O36" i="6"/>
  <c r="O35" i="6"/>
  <c r="C40" i="17"/>
  <c r="D40" i="17"/>
  <c r="C41" i="17"/>
  <c r="Q6" i="17"/>
  <c r="D41" i="17"/>
  <c r="E40" i="17"/>
  <c r="F40" i="17"/>
  <c r="E41" i="17"/>
  <c r="G40" i="17"/>
  <c r="F41" i="17"/>
  <c r="H40" i="17"/>
  <c r="I40" i="17"/>
  <c r="J40" i="17"/>
  <c r="P7" i="17"/>
  <c r="Q7" i="17"/>
  <c r="C34" i="17"/>
  <c r="D34" i="17" s="1"/>
  <c r="C35" i="17"/>
  <c r="N17" i="6"/>
  <c r="M17" i="6"/>
  <c r="C28" i="17"/>
  <c r="D28" i="17"/>
  <c r="E28" i="17" s="1"/>
  <c r="C29" i="17"/>
  <c r="D29" i="17"/>
  <c r="N9" i="17"/>
  <c r="D7" i="17"/>
  <c r="E7" i="17"/>
  <c r="F7" i="17"/>
  <c r="G7" i="17"/>
  <c r="H7" i="17"/>
  <c r="I7" i="17"/>
  <c r="J7" i="17"/>
  <c r="K7" i="17"/>
  <c r="L7" i="17"/>
  <c r="M7" i="17"/>
  <c r="N7" i="17"/>
  <c r="C7" i="17"/>
  <c r="C22" i="17"/>
  <c r="C15" i="17"/>
  <c r="O7" i="17"/>
  <c r="D22" i="17"/>
  <c r="D15" i="17"/>
  <c r="O9" i="17"/>
  <c r="D23" i="17"/>
  <c r="C23" i="17"/>
  <c r="E22" i="17"/>
  <c r="F22" i="17" s="1"/>
  <c r="E15" i="17"/>
  <c r="F15" i="17"/>
  <c r="G15" i="17"/>
  <c r="H15" i="17"/>
  <c r="I15" i="17"/>
  <c r="J15" i="17"/>
  <c r="K15" i="17"/>
  <c r="L15" i="17"/>
  <c r="M15" i="17"/>
  <c r="N15" i="17"/>
  <c r="K9" i="17"/>
  <c r="L9" i="17"/>
  <c r="D9" i="17"/>
  <c r="G9" i="17"/>
  <c r="H9" i="17"/>
  <c r="J9" i="17"/>
  <c r="I9" i="17"/>
  <c r="M9" i="17"/>
  <c r="E9" i="17"/>
  <c r="C9" i="17"/>
  <c r="F9" i="17"/>
  <c r="C16" i="17"/>
  <c r="D16" i="17"/>
  <c r="E16" i="17"/>
  <c r="F16" i="17"/>
  <c r="G16" i="17"/>
  <c r="H16" i="17"/>
  <c r="I16" i="17"/>
  <c r="J16" i="17"/>
  <c r="K16" i="17"/>
  <c r="L16" i="17"/>
  <c r="M16" i="17"/>
  <c r="N16" i="17"/>
  <c r="J26" i="6"/>
  <c r="E26" i="6"/>
  <c r="H26" i="6"/>
  <c r="D26" i="6"/>
  <c r="I26" i="6"/>
  <c r="J41" i="17"/>
  <c r="K40" i="17"/>
  <c r="I41" i="17"/>
  <c r="K41" i="17"/>
  <c r="D36" i="11" l="1"/>
  <c r="U37" i="11"/>
  <c r="F28" i="17"/>
  <c r="E29" i="17"/>
  <c r="E34" i="17"/>
  <c r="D35" i="17"/>
  <c r="G22" i="17"/>
  <c r="F23" i="17"/>
  <c r="E23" i="17"/>
  <c r="O40" i="6"/>
  <c r="C32" i="6"/>
  <c r="C17" i="6"/>
  <c r="C8" i="6" s="1"/>
  <c r="C26" i="6"/>
  <c r="O7" i="6"/>
  <c r="G41" i="17"/>
  <c r="H41" i="17"/>
  <c r="E47" i="6"/>
  <c r="O25" i="6"/>
  <c r="O23" i="6"/>
  <c r="L26" i="6"/>
  <c r="O13" i="6"/>
  <c r="L17" i="6"/>
  <c r="O14" i="6"/>
  <c r="O15" i="6"/>
  <c r="O16" i="6"/>
  <c r="O22" i="6"/>
  <c r="O21" i="6"/>
  <c r="L40" i="17"/>
  <c r="K26" i="6"/>
  <c r="K17" i="6"/>
  <c r="O12" i="6"/>
  <c r="S8" i="11"/>
  <c r="S36" i="11" l="1"/>
  <c r="U36" i="11"/>
  <c r="O27" i="6"/>
  <c r="G23" i="17"/>
  <c r="H22" i="17"/>
  <c r="F34" i="17"/>
  <c r="E35" i="17"/>
  <c r="F29" i="17"/>
  <c r="G28" i="17"/>
  <c r="O24" i="6"/>
  <c r="O26" i="6"/>
  <c r="O17" i="6"/>
  <c r="L41" i="17"/>
  <c r="M40" i="17"/>
  <c r="G29" i="17" l="1"/>
  <c r="H28" i="17"/>
  <c r="G34" i="17"/>
  <c r="F35" i="17"/>
  <c r="H23" i="17"/>
  <c r="I22" i="17"/>
  <c r="P17" i="6"/>
  <c r="O8" i="6"/>
  <c r="P26" i="6"/>
  <c r="M41" i="17"/>
  <c r="N40" i="17"/>
  <c r="H29" i="17" l="1"/>
  <c r="I28" i="17"/>
  <c r="I23" i="17"/>
  <c r="J22" i="17"/>
  <c r="G35" i="17"/>
  <c r="H34" i="17"/>
  <c r="N41" i="17"/>
  <c r="R8" i="17"/>
  <c r="R9" i="17" s="1"/>
  <c r="H35" i="17" l="1"/>
  <c r="I34" i="17"/>
  <c r="J23" i="17"/>
  <c r="K22" i="17"/>
  <c r="J28" i="17"/>
  <c r="I29" i="17"/>
  <c r="K28" i="17" l="1"/>
  <c r="J29" i="17"/>
  <c r="K23" i="17"/>
  <c r="L22" i="17"/>
  <c r="J34" i="17"/>
  <c r="I35" i="17"/>
  <c r="L28" i="17" l="1"/>
  <c r="K29" i="17"/>
  <c r="K34" i="17"/>
  <c r="J35" i="17"/>
  <c r="L23" i="17"/>
  <c r="M22" i="17"/>
  <c r="M23" i="17" l="1"/>
  <c r="N22" i="17"/>
  <c r="N23" i="17" s="1"/>
  <c r="L34" i="17"/>
  <c r="K35" i="17"/>
  <c r="L29" i="17"/>
  <c r="M28" i="17"/>
  <c r="M29" i="17" l="1"/>
  <c r="N28" i="17"/>
  <c r="M34" i="17"/>
  <c r="L35" i="17"/>
  <c r="N34" i="17" l="1"/>
  <c r="M35" i="17"/>
  <c r="N29" i="17"/>
  <c r="P8" i="17"/>
  <c r="P9" i="17" s="1"/>
  <c r="N35" i="17" l="1"/>
  <c r="Q8" i="17"/>
  <c r="Q9" i="17" s="1"/>
</calcChain>
</file>

<file path=xl/sharedStrings.xml><?xml version="1.0" encoding="utf-8"?>
<sst xmlns="http://schemas.openxmlformats.org/spreadsheetml/2006/main" count="849" uniqueCount="188">
  <si>
    <t>Licitaciones</t>
  </si>
  <si>
    <t>Compras Coordinadas</t>
  </si>
  <si>
    <t>N° orden de compra</t>
  </si>
  <si>
    <t>Nombre de la OC</t>
  </si>
  <si>
    <t>Tipo de compra</t>
  </si>
  <si>
    <t>Estado OC</t>
  </si>
  <si>
    <t>Nombre Proveedor</t>
  </si>
  <si>
    <t>RUT Proveedor</t>
  </si>
  <si>
    <t>Fecha de creación OC</t>
  </si>
  <si>
    <t>Fecha envió de OC</t>
  </si>
  <si>
    <t>Monto neto</t>
  </si>
  <si>
    <t>Descuentos</t>
  </si>
  <si>
    <t>Cargos</t>
  </si>
  <si>
    <t>I.V.A</t>
  </si>
  <si>
    <t>Impuesto Específico</t>
  </si>
  <si>
    <t>Total OC</t>
  </si>
  <si>
    <t xml:space="preserve">Contrataciones </t>
  </si>
  <si>
    <t>Ordenes de Compra</t>
  </si>
  <si>
    <t>Total</t>
  </si>
  <si>
    <t>Ejecución Mensual</t>
  </si>
  <si>
    <t>Ejecución Acumulada</t>
  </si>
  <si>
    <t>% Ejecución acumulada</t>
  </si>
  <si>
    <t>Unidad compradora</t>
  </si>
  <si>
    <t>Ejecución Presupuestaria (En M$)</t>
  </si>
  <si>
    <t>Enero</t>
  </si>
  <si>
    <t>Febrero</t>
  </si>
  <si>
    <t>Acumulado</t>
  </si>
  <si>
    <t>Trato Directo</t>
  </si>
  <si>
    <t>Marzo</t>
  </si>
  <si>
    <t>Abril</t>
  </si>
  <si>
    <t>Mayo</t>
  </si>
  <si>
    <t>Junio</t>
  </si>
  <si>
    <t>Presupuesto anual aprobado</t>
  </si>
  <si>
    <t>Suplementos</t>
  </si>
  <si>
    <t>Presupuesto total</t>
  </si>
  <si>
    <t>Presupuesto ejecutado</t>
  </si>
  <si>
    <t>% de ejecución (sobre presupuesto total)</t>
  </si>
  <si>
    <t>Julio</t>
  </si>
  <si>
    <t>Agosto</t>
  </si>
  <si>
    <t>Septiembre</t>
  </si>
  <si>
    <t>Octubre</t>
  </si>
  <si>
    <t>Noviembre</t>
  </si>
  <si>
    <t>Diciembre</t>
  </si>
  <si>
    <t xml:space="preserve">Presupuesto ejecutado en el mes </t>
  </si>
  <si>
    <t>Presupuesto ejecutado acumulada</t>
  </si>
  <si>
    <t>% de ejecución presupuestaria</t>
  </si>
  <si>
    <t>Presupuesto ejecutado en el mes</t>
  </si>
  <si>
    <t>HISTORICO PPTO Y EJECUCION</t>
  </si>
  <si>
    <t>Presupuesto Total</t>
  </si>
  <si>
    <t xml:space="preserve">Octubre </t>
  </si>
  <si>
    <t>Tipo Moneda</t>
  </si>
  <si>
    <t>Tipo de cambio</t>
  </si>
  <si>
    <t>Total OC en $</t>
  </si>
  <si>
    <t>Monto Tipo de cambio</t>
  </si>
  <si>
    <t>Convenio Marco</t>
  </si>
  <si>
    <t>Sumatoria Enero</t>
  </si>
  <si>
    <t>Compra Ágil</t>
  </si>
  <si>
    <t>Total Acumulado</t>
  </si>
  <si>
    <t>Control</t>
  </si>
  <si>
    <t>Ordenes de Compra emitidas en MP</t>
  </si>
  <si>
    <t>Subtítulo 21</t>
  </si>
  <si>
    <t>Subtítulo 22</t>
  </si>
  <si>
    <t>Subtítulo 23</t>
  </si>
  <si>
    <t>Subtítulo 29</t>
  </si>
  <si>
    <t>Ejecución (En M$)</t>
  </si>
  <si>
    <t>Subtítulo 26</t>
  </si>
  <si>
    <t>lineal</t>
  </si>
  <si>
    <t>Reclamos en Mercado Publico</t>
  </si>
  <si>
    <t>Respuesta OK</t>
  </si>
  <si>
    <t>Reclamo</t>
  </si>
  <si>
    <t>Pago no oportuno</t>
  </si>
  <si>
    <t>Irregul. Proceso de Compra</t>
  </si>
  <si>
    <t>Total % Meta</t>
  </si>
  <si>
    <t>5752-5-AG26</t>
  </si>
  <si>
    <t>Servicio de Coffee Break en la ciudad de Coyhaique.</t>
  </si>
  <si>
    <t>Aceptada</t>
  </si>
  <si>
    <t>Consejo para la Transparencia</t>
  </si>
  <si>
    <t>BEATRIZ SOLEDAD CUBILLA WANDERSLEBEN</t>
  </si>
  <si>
    <t>18.470.403-k</t>
  </si>
  <si>
    <t>5752-4-AG26</t>
  </si>
  <si>
    <t>Plan Equipo Premier de Survey Monkey.</t>
  </si>
  <si>
    <t>FLEX SSS SPA</t>
  </si>
  <si>
    <t>76.992.701-8</t>
  </si>
  <si>
    <t>5752-3-AG26</t>
  </si>
  <si>
    <t>Servicio de impresión de cartilla para el Consejo para la Transparencia.</t>
  </si>
  <si>
    <t>IMPRENTA LICANRAY LIMITADA</t>
  </si>
  <si>
    <t>79.779.390-6</t>
  </si>
  <si>
    <t>5752-2-AG26</t>
  </si>
  <si>
    <t>Servicio de Coffee Break en Antofagasta y en Mejillones.</t>
  </si>
  <si>
    <t>LAV SPA</t>
  </si>
  <si>
    <t>76.909.956-5</t>
  </si>
  <si>
    <t>5752-1-AG26</t>
  </si>
  <si>
    <t>Servicio de Coffee Break en la ciudad de Iquique</t>
  </si>
  <si>
    <t>YANKO CARLOS BURGOS ARIAS</t>
  </si>
  <si>
    <t>9.464.405-4</t>
  </si>
  <si>
    <t>Licitación Publicada en Lobby</t>
  </si>
  <si>
    <t>N/A</t>
  </si>
  <si>
    <t>$</t>
  </si>
  <si>
    <t>Presupuesto Res.488</t>
  </si>
  <si>
    <t>Sumatoria Febrero</t>
  </si>
  <si>
    <t>5752-11-AG26</t>
  </si>
  <si>
    <t>Confección e instalación cortinas Roller blackout para oficinas del CPLT.</t>
  </si>
  <si>
    <t>CORTINAS ROLLER PRO SPA</t>
  </si>
  <si>
    <t>76.790.387-1</t>
  </si>
  <si>
    <t>5752-10-AG26</t>
  </si>
  <si>
    <t>Remodelación Cierre oficinas con panel vidriado CPLT.</t>
  </si>
  <si>
    <t>REXCON CONSTRUCTORA SPA</t>
  </si>
  <si>
    <t>78.090.792-4</t>
  </si>
  <si>
    <t>5752-9-CM26</t>
  </si>
  <si>
    <t>Pasaje Sr. Egon Montecinos Santiago - Temuco.</t>
  </si>
  <si>
    <t>LATAM AIRLINES GROUP S.A.</t>
  </si>
  <si>
    <t>89.862.200-2</t>
  </si>
  <si>
    <t>5752-8-CM26</t>
  </si>
  <si>
    <t>Pasajes Sr. Egon Montecinos Valdivia - Santiago.</t>
  </si>
  <si>
    <t>5752-7-AG26</t>
  </si>
  <si>
    <t>Porta credenciales y bolsas para Seminario Consejo para la Transparencia.</t>
  </si>
  <si>
    <t>OBSEKIOS PROMOCIONALES SPA</t>
  </si>
  <si>
    <t>77.669.338-3</t>
  </si>
  <si>
    <t>5752-6-SE26</t>
  </si>
  <si>
    <t>Plataforma Tecnológica, operación, soporte y mant.</t>
  </si>
  <si>
    <t>GUADALTEL CHILE SERVICIOS DE INFORMACION SPA</t>
  </si>
  <si>
    <t>76.108.701-0</t>
  </si>
  <si>
    <t>Sumatoria Marzo</t>
  </si>
  <si>
    <t>5752-14-SE26</t>
  </si>
  <si>
    <t>Suministro de pasajes aéreos internacionales</t>
  </si>
  <si>
    <t>TRAVEL SECURITY S.A.</t>
  </si>
  <si>
    <t>85.633.900-9</t>
  </si>
  <si>
    <t>5752-13-AG26</t>
  </si>
  <si>
    <t>Servicio de impresión de guías para el Consejo para la Transparencia.</t>
  </si>
  <si>
    <t>CREATIVA IMPRESA SPA</t>
  </si>
  <si>
    <t>76.766.791-4</t>
  </si>
  <si>
    <t>5752-12-AG26</t>
  </si>
  <si>
    <t>Servicio de empavonado en paneles vidriados.</t>
  </si>
  <si>
    <t>COMERCIAL OC SPA</t>
  </si>
  <si>
    <t>77.649.488-7</t>
  </si>
  <si>
    <t>SumatoriaMarzo</t>
  </si>
  <si>
    <t>Sumatoria Abril</t>
  </si>
  <si>
    <t>5752-23-AG26</t>
  </si>
  <si>
    <t>Examen detección consumo de drogas.</t>
  </si>
  <si>
    <t>UNIVERSIDAD DE CHILE</t>
  </si>
  <si>
    <t>60.910.000-1</t>
  </si>
  <si>
    <t>5752-22-AG26</t>
  </si>
  <si>
    <t>Suscripción Licencias Chat GPT open AI, Créditos API Chat GPT.</t>
  </si>
  <si>
    <t>5752-21-AG26</t>
  </si>
  <si>
    <t>Suscripción Licencias Claude AI Pro para el CPLT.</t>
  </si>
  <si>
    <t>5752-20-AG26</t>
  </si>
  <si>
    <t>Lectores códigos de barra para el CPLT.</t>
  </si>
  <si>
    <t>ENGINEER, PROJECT AND INNOVATION SPA</t>
  </si>
  <si>
    <t>78.095.722-0</t>
  </si>
  <si>
    <t>5752-19-AG26</t>
  </si>
  <si>
    <t>Servicio de Coffee break en la ciudad de San Felipe .</t>
  </si>
  <si>
    <t>LA GOLOSA SPA</t>
  </si>
  <si>
    <t>77.904.157-3</t>
  </si>
  <si>
    <t>5752-18-AG26</t>
  </si>
  <si>
    <t>Servicio de impresión de compendios para el Consejo para la Transparencia.</t>
  </si>
  <si>
    <t>A IMPRESORES S.A.</t>
  </si>
  <si>
    <t>96.830.710-k</t>
  </si>
  <si>
    <t>5752-17-AG26</t>
  </si>
  <si>
    <t>Suscripción Licencias Chat GPT open AI , Créditos API Chat GPT y Claude AI Pro.</t>
  </si>
  <si>
    <t>Cancelada</t>
  </si>
  <si>
    <t>PROVENIR SPA</t>
  </si>
  <si>
    <t>78.131.679-2</t>
  </si>
  <si>
    <t>5752-16-AG26</t>
  </si>
  <si>
    <t>Servicio de alojamiento y servicios de alimentación.</t>
  </si>
  <si>
    <t>C.G. DEMERCADO SPA</t>
  </si>
  <si>
    <t>76.432.389-0</t>
  </si>
  <si>
    <t>5752-15-AG26</t>
  </si>
  <si>
    <t>Servicio de Coffee break en la ciudad de Santiago</t>
  </si>
  <si>
    <t>ANDREA CAROLINA VIDAL MATUS</t>
  </si>
  <si>
    <t>16.175.345-9</t>
  </si>
  <si>
    <t>Mod. Res.122</t>
  </si>
  <si>
    <t>Sumatoria Mayo</t>
  </si>
  <si>
    <t>5752-27-AG26</t>
  </si>
  <si>
    <t>Renovación de 2 licencias Tableau Creator</t>
  </si>
  <si>
    <t>TELECOSUR SPA</t>
  </si>
  <si>
    <t>77.757.727-1</t>
  </si>
  <si>
    <t>5752-26-AG26</t>
  </si>
  <si>
    <t>Adquisición de Insumos de oficina y aseo</t>
  </si>
  <si>
    <t>COMERCIAL FASIT LIMITADA</t>
  </si>
  <si>
    <t>76.607.224-0</t>
  </si>
  <si>
    <t>5752-25-AG26</t>
  </si>
  <si>
    <t>Servicio de desinstalación e instalación de puerta de vidrio templado</t>
  </si>
  <si>
    <t>GASFERVEN SPA</t>
  </si>
  <si>
    <t>77.288.459-1</t>
  </si>
  <si>
    <t>5752-24-AG26</t>
  </si>
  <si>
    <t>Normas Chilenas ISO</t>
  </si>
  <si>
    <t>INSTITUTO NACIONAL DE NORMALIZACION</t>
  </si>
  <si>
    <t>70.049.100-5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</si>
</sst>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$&quot;* #,##0_ ;_ &quot;$&quot;* \-#,##0_ ;_ &quot;$&quot;* &quot;-&quot;_ ;_ @_ "/>
    <numFmt numFmtId="41" formatCode="_ * #,##0_ ;_ * \-#,##0_ ;_ * &quot;-&quot;_ ;_ @_ "/>
    <numFmt numFmtId="164" formatCode="_-&quot;$&quot;\ * #,##0.00_-;\-&quot;$&quot;\ * #,##0.00_-;_-&quot;$&quot;\ * &quot;-&quot;??_-;_-@_-"/>
    <numFmt numFmtId="165" formatCode="dd/mm/yyyy;@"/>
    <numFmt numFmtId="166" formatCode="_ * #,##0.00_ ;_ * \-#,##0.00_ ;_ * &quot;-&quot;_ ;_ @_ "/>
    <numFmt numFmtId="167" formatCode="0.0%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theme="1"/>
      <name val="Book Antiqua"/>
      <family val="1"/>
    </font>
    <font>
      <b/>
      <sz val="9"/>
      <color theme="1"/>
      <name val="Book Antiqua"/>
      <family val="1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Book Antiqua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FFFF"/>
      <name val="Verdana"/>
      <family val="2"/>
    </font>
    <font>
      <sz val="8"/>
      <color theme="1"/>
      <name val="Book Antiqua"/>
      <family val="1"/>
    </font>
    <font>
      <sz val="11"/>
      <color theme="1"/>
      <name val="Aptos"/>
      <family val="2"/>
    </font>
    <font>
      <b/>
      <sz val="10"/>
      <color rgb="FF000000"/>
      <name val="Book Antiqua"/>
      <family val="1"/>
    </font>
    <font>
      <sz val="10"/>
      <color rgb="FF000000"/>
      <name val="Book Antiqua"/>
      <family val="1"/>
    </font>
    <font>
      <sz val="10"/>
      <color theme="0"/>
      <name val="Book Antiqua"/>
      <family val="1"/>
    </font>
    <font>
      <b/>
      <sz val="11"/>
      <color rgb="FFFFFFFF"/>
      <name val="Verdana"/>
      <family val="2"/>
    </font>
    <font>
      <b/>
      <sz val="11"/>
      <color rgb="FFFFFFFF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8" borderId="6" applyNumberFormat="0" applyAlignment="0" applyProtection="0"/>
    <xf numFmtId="0" fontId="11" fillId="9" borderId="7" applyNumberFormat="0" applyAlignment="0" applyProtection="0"/>
    <xf numFmtId="0" fontId="12" fillId="9" borderId="6" applyNumberFormat="0" applyAlignment="0" applyProtection="0"/>
    <xf numFmtId="0" fontId="13" fillId="0" borderId="8" applyNumberFormat="0" applyFill="0" applyAlignment="0" applyProtection="0"/>
    <xf numFmtId="0" fontId="14" fillId="10" borderId="9" applyNumberFormat="0" applyAlignment="0" applyProtection="0"/>
    <xf numFmtId="0" fontId="15" fillId="0" borderId="0" applyNumberFormat="0" applyFill="0" applyBorder="0" applyAlignment="0" applyProtection="0"/>
    <xf numFmtId="0" fontId="1" fillId="11" borderId="10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17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7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5" borderId="0" applyNumberFormat="0" applyBorder="0" applyAlignment="0" applyProtection="0"/>
    <xf numFmtId="0" fontId="19" fillId="0" borderId="0"/>
    <xf numFmtId="0" fontId="20" fillId="0" borderId="0"/>
    <xf numFmtId="0" fontId="21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9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9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2" fontId="1" fillId="0" borderId="0" applyFont="0" applyFill="0" applyBorder="0" applyAlignment="0" applyProtection="0"/>
  </cellStyleXfs>
  <cellXfs count="93">
    <xf numFmtId="0" fontId="0" fillId="0" borderId="0" xfId="0"/>
    <xf numFmtId="0" fontId="22" fillId="0" borderId="0" xfId="0" applyFont="1"/>
    <xf numFmtId="0" fontId="23" fillId="0" borderId="1" xfId="0" applyFont="1" applyBorder="1" applyAlignment="1">
      <alignment vertical="center" wrapText="1"/>
    </xf>
    <xf numFmtId="41" fontId="22" fillId="0" borderId="1" xfId="1" applyFont="1" applyBorder="1" applyAlignment="1">
      <alignment vertical="center" wrapText="1"/>
    </xf>
    <xf numFmtId="10" fontId="22" fillId="0" borderId="1" xfId="2" applyNumberFormat="1" applyFont="1" applyBorder="1" applyAlignment="1">
      <alignment vertical="center" wrapText="1"/>
    </xf>
    <xf numFmtId="10" fontId="22" fillId="0" borderId="1" xfId="2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1" fontId="22" fillId="0" borderId="1" xfId="1" applyFont="1" applyFill="1" applyBorder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/>
    <xf numFmtId="0" fontId="27" fillId="2" borderId="1" xfId="0" applyFont="1" applyFill="1" applyBorder="1"/>
    <xf numFmtId="17" fontId="27" fillId="2" borderId="1" xfId="0" applyNumberFormat="1" applyFont="1" applyFill="1" applyBorder="1" applyAlignment="1">
      <alignment horizontal="center"/>
    </xf>
    <xf numFmtId="0" fontId="27" fillId="0" borderId="1" xfId="0" applyFont="1" applyBorder="1"/>
    <xf numFmtId="0" fontId="27" fillId="4" borderId="1" xfId="0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41" fontId="27" fillId="4" borderId="1" xfId="49" applyFont="1" applyFill="1" applyBorder="1" applyAlignment="1">
      <alignment horizontal="left"/>
    </xf>
    <xf numFmtId="41" fontId="27" fillId="4" borderId="1" xfId="49" applyFont="1" applyFill="1" applyBorder="1" applyAlignment="1">
      <alignment horizontal="center"/>
    </xf>
    <xf numFmtId="41" fontId="27" fillId="4" borderId="1" xfId="1" applyFont="1" applyFill="1" applyBorder="1" applyAlignment="1">
      <alignment horizontal="left"/>
    </xf>
    <xf numFmtId="0" fontId="27" fillId="0" borderId="0" xfId="0" applyFont="1" applyAlignment="1">
      <alignment horizontal="center"/>
    </xf>
    <xf numFmtId="41" fontId="27" fillId="0" borderId="1" xfId="1" applyFont="1" applyBorder="1"/>
    <xf numFmtId="41" fontId="27" fillId="0" borderId="0" xfId="0" applyNumberFormat="1" applyFont="1"/>
    <xf numFmtId="3" fontId="27" fillId="0" borderId="0" xfId="0" applyNumberFormat="1" applyFont="1"/>
    <xf numFmtId="41" fontId="27" fillId="0" borderId="1" xfId="1" applyFont="1" applyFill="1" applyBorder="1" applyAlignment="1">
      <alignment horizontal="left"/>
    </xf>
    <xf numFmtId="10" fontId="27" fillId="0" borderId="0" xfId="2" applyNumberFormat="1" applyFont="1"/>
    <xf numFmtId="10" fontId="26" fillId="4" borderId="1" xfId="2" applyNumberFormat="1" applyFont="1" applyFill="1" applyBorder="1" applyAlignment="1">
      <alignment horizontal="center"/>
    </xf>
    <xf numFmtId="41" fontId="22" fillId="0" borderId="1" xfId="0" applyNumberFormat="1" applyFont="1" applyBorder="1" applyAlignment="1">
      <alignment vertical="center" wrapText="1"/>
    </xf>
    <xf numFmtId="41" fontId="26" fillId="0" borderId="1" xfId="0" applyNumberFormat="1" applyFont="1" applyBorder="1"/>
    <xf numFmtId="9" fontId="27" fillId="0" borderId="0" xfId="2" applyFont="1"/>
    <xf numFmtId="0" fontId="0" fillId="0" borderId="12" xfId="0" applyBorder="1"/>
    <xf numFmtId="0" fontId="0" fillId="0" borderId="14" xfId="0" applyBorder="1"/>
    <xf numFmtId="3" fontId="0" fillId="0" borderId="12" xfId="0" applyNumberFormat="1" applyBorder="1"/>
    <xf numFmtId="0" fontId="33" fillId="0" borderId="1" xfId="0" applyFont="1" applyBorder="1" applyAlignment="1">
      <alignment horizontal="center"/>
    </xf>
    <xf numFmtId="0" fontId="34" fillId="0" borderId="0" xfId="0" applyFont="1"/>
    <xf numFmtId="42" fontId="34" fillId="0" borderId="0" xfId="0" applyNumberFormat="1" applyFont="1"/>
    <xf numFmtId="0" fontId="36" fillId="3" borderId="2" xfId="0" applyFont="1" applyFill="1" applyBorder="1" applyAlignment="1">
      <alignment horizontal="center" wrapText="1"/>
    </xf>
    <xf numFmtId="0" fontId="36" fillId="4" borderId="0" xfId="0" applyFont="1" applyFill="1" applyAlignment="1">
      <alignment horizontal="center"/>
    </xf>
    <xf numFmtId="0" fontId="36" fillId="3" borderId="0" xfId="0" applyFont="1" applyFill="1" applyAlignment="1">
      <alignment horizontal="center"/>
    </xf>
    <xf numFmtId="41" fontId="26" fillId="4" borderId="1" xfId="1" applyFont="1" applyFill="1" applyBorder="1" applyAlignment="1">
      <alignment horizontal="center"/>
    </xf>
    <xf numFmtId="0" fontId="37" fillId="4" borderId="1" xfId="0" applyFont="1" applyFill="1" applyBorder="1" applyAlignment="1">
      <alignment wrapText="1"/>
    </xf>
    <xf numFmtId="0" fontId="37" fillId="4" borderId="1" xfId="0" applyFont="1" applyFill="1" applyBorder="1" applyAlignment="1">
      <alignment horizontal="left"/>
    </xf>
    <xf numFmtId="0" fontId="32" fillId="4" borderId="1" xfId="0" applyFont="1" applyFill="1" applyBorder="1" applyAlignment="1">
      <alignment horizontal="left"/>
    </xf>
    <xf numFmtId="0" fontId="37" fillId="4" borderId="1" xfId="0" applyFont="1" applyFill="1" applyBorder="1"/>
    <xf numFmtId="165" fontId="37" fillId="4" borderId="1" xfId="0" applyNumberFormat="1" applyFont="1" applyFill="1" applyBorder="1" applyAlignment="1">
      <alignment wrapText="1"/>
    </xf>
    <xf numFmtId="3" fontId="37" fillId="4" borderId="1" xfId="0" applyNumberFormat="1" applyFont="1" applyFill="1" applyBorder="1" applyAlignment="1">
      <alignment wrapText="1"/>
    </xf>
    <xf numFmtId="3" fontId="37" fillId="4" borderId="1" xfId="0" applyNumberFormat="1" applyFont="1" applyFill="1" applyBorder="1"/>
    <xf numFmtId="0" fontId="38" fillId="3" borderId="15" xfId="0" applyFont="1" applyFill="1" applyBorder="1" applyAlignment="1">
      <alignment horizontal="center" wrapText="1"/>
    </xf>
    <xf numFmtId="3" fontId="35" fillId="36" borderId="0" xfId="0" applyNumberFormat="1" applyFont="1" applyFill="1"/>
    <xf numFmtId="0" fontId="35" fillId="36" borderId="0" xfId="0" applyFont="1" applyFill="1"/>
    <xf numFmtId="0" fontId="35" fillId="37" borderId="12" xfId="0" applyFont="1" applyFill="1" applyBorder="1"/>
    <xf numFmtId="42" fontId="27" fillId="4" borderId="1" xfId="59" applyFont="1" applyFill="1" applyBorder="1" applyAlignment="1">
      <alignment horizontal="center"/>
    </xf>
    <xf numFmtId="42" fontId="26" fillId="4" borderId="1" xfId="59" applyFont="1" applyFill="1" applyBorder="1" applyAlignment="1">
      <alignment horizontal="center"/>
    </xf>
    <xf numFmtId="3" fontId="26" fillId="0" borderId="1" xfId="0" applyNumberFormat="1" applyFont="1" applyBorder="1" applyAlignment="1">
      <alignment horizontal="center"/>
    </xf>
    <xf numFmtId="42" fontId="26" fillId="0" borderId="1" xfId="59" applyFont="1" applyBorder="1" applyAlignment="1">
      <alignment horizontal="center"/>
    </xf>
    <xf numFmtId="41" fontId="39" fillId="38" borderId="0" xfId="1" applyFont="1" applyFill="1"/>
    <xf numFmtId="3" fontId="2" fillId="37" borderId="13" xfId="0" applyNumberFormat="1" applyFont="1" applyFill="1" applyBorder="1"/>
    <xf numFmtId="0" fontId="2" fillId="37" borderId="12" xfId="0" applyFont="1" applyFill="1" applyBorder="1"/>
    <xf numFmtId="10" fontId="26" fillId="4" borderId="0" xfId="2" applyNumberFormat="1" applyFont="1" applyFill="1" applyBorder="1" applyAlignment="1">
      <alignment horizontal="center"/>
    </xf>
    <xf numFmtId="41" fontId="26" fillId="4" borderId="1" xfId="2" applyNumberFormat="1" applyFont="1" applyFill="1" applyBorder="1" applyAlignment="1">
      <alignment horizontal="center"/>
    </xf>
    <xf numFmtId="166" fontId="27" fillId="0" borderId="0" xfId="0" applyNumberFormat="1" applyFont="1"/>
    <xf numFmtId="0" fontId="41" fillId="39" borderId="0" xfId="0" applyFont="1" applyFill="1" applyAlignment="1">
      <alignment vertical="center"/>
    </xf>
    <xf numFmtId="0" fontId="40" fillId="0" borderId="0" xfId="0" applyFont="1" applyAlignment="1">
      <alignment vertical="center" wrapText="1"/>
    </xf>
    <xf numFmtId="0" fontId="42" fillId="40" borderId="1" xfId="0" applyFont="1" applyFill="1" applyBorder="1" applyAlignment="1">
      <alignment vertical="center"/>
    </xf>
    <xf numFmtId="0" fontId="42" fillId="40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vertical="center"/>
    </xf>
    <xf numFmtId="0" fontId="42" fillId="41" borderId="1" xfId="0" applyFont="1" applyFill="1" applyBorder="1" applyAlignment="1">
      <alignment horizontal="center" vertical="center"/>
    </xf>
    <xf numFmtId="0" fontId="41" fillId="41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3" fillId="0" borderId="0" xfId="0" applyFont="1"/>
    <xf numFmtId="41" fontId="43" fillId="0" borderId="0" xfId="1" applyFont="1"/>
    <xf numFmtId="167" fontId="17" fillId="0" borderId="0" xfId="2" applyNumberFormat="1" applyFont="1"/>
    <xf numFmtId="3" fontId="43" fillId="0" borderId="0" xfId="0" applyNumberFormat="1" applyFont="1" applyAlignment="1">
      <alignment horizontal="right" vertical="center"/>
    </xf>
    <xf numFmtId="0" fontId="17" fillId="0" borderId="0" xfId="0" applyFont="1"/>
    <xf numFmtId="1" fontId="17" fillId="0" borderId="0" xfId="0" applyNumberFormat="1" applyFont="1"/>
    <xf numFmtId="41" fontId="43" fillId="0" borderId="0" xfId="0" applyNumberFormat="1" applyFont="1"/>
    <xf numFmtId="0" fontId="22" fillId="0" borderId="0" xfId="0" applyFont="1" applyAlignment="1">
      <alignment vertical="center"/>
    </xf>
    <xf numFmtId="3" fontId="34" fillId="0" borderId="0" xfId="0" applyNumberFormat="1" applyFont="1"/>
    <xf numFmtId="0" fontId="35" fillId="37" borderId="14" xfId="0" applyFont="1" applyFill="1" applyBorder="1"/>
    <xf numFmtId="3" fontId="35" fillId="37" borderId="12" xfId="0" applyNumberFormat="1" applyFont="1" applyFill="1" applyBorder="1"/>
    <xf numFmtId="0" fontId="34" fillId="0" borderId="14" xfId="0" applyFont="1" applyBorder="1"/>
    <xf numFmtId="0" fontId="34" fillId="0" borderId="12" xfId="0" applyFont="1" applyBorder="1"/>
    <xf numFmtId="3" fontId="34" fillId="0" borderId="12" xfId="0" applyNumberFormat="1" applyFont="1" applyBorder="1"/>
    <xf numFmtId="0" fontId="41" fillId="42" borderId="1" xfId="0" applyFont="1" applyFill="1" applyBorder="1" applyAlignment="1">
      <alignment vertical="center"/>
    </xf>
    <xf numFmtId="10" fontId="41" fillId="42" borderId="1" xfId="2" applyNumberFormat="1" applyFont="1" applyFill="1" applyBorder="1" applyAlignment="1">
      <alignment horizontal="center" vertical="center"/>
    </xf>
    <xf numFmtId="3" fontId="37" fillId="4" borderId="1" xfId="0" applyNumberFormat="1" applyFont="1" applyFill="1" applyBorder="1" applyAlignment="1">
      <alignment horizontal="center"/>
    </xf>
    <xf numFmtId="3" fontId="35" fillId="37" borderId="13" xfId="0" applyNumberFormat="1" applyFont="1" applyFill="1" applyBorder="1" applyAlignment="1">
      <alignment horizontal="center"/>
    </xf>
    <xf numFmtId="3" fontId="34" fillId="0" borderId="16" xfId="0" applyNumberFormat="1" applyFont="1" applyBorder="1" applyAlignment="1">
      <alignment horizontal="center"/>
    </xf>
    <xf numFmtId="3" fontId="35" fillId="37" borderId="17" xfId="0" applyNumberFormat="1" applyFont="1" applyFill="1" applyBorder="1"/>
    <xf numFmtId="3" fontId="35" fillId="37" borderId="18" xfId="0" applyNumberFormat="1" applyFont="1" applyFill="1" applyBorder="1"/>
    <xf numFmtId="0" fontId="44" fillId="3" borderId="15" xfId="0" applyFont="1" applyFill="1" applyBorder="1" applyAlignment="1">
      <alignment horizontal="center" wrapText="1"/>
    </xf>
    <xf numFmtId="0" fontId="45" fillId="4" borderId="0" xfId="0" applyFont="1" applyFill="1" applyAlignment="1">
      <alignment horizontal="center"/>
    </xf>
    <xf numFmtId="0" fontId="45" fillId="3" borderId="0" xfId="0" applyFont="1" applyFill="1" applyAlignment="1">
      <alignment horizontal="center"/>
    </xf>
    <xf numFmtId="0" fontId="41" fillId="0" borderId="0" xfId="0" applyFont="1" applyAlignment="1">
      <alignment vertical="center"/>
    </xf>
  </cellXfs>
  <cellStyles count="73">
    <cellStyle name="20% - Énfasis1" xfId="20" builtinId="30" customBuiltin="1"/>
    <cellStyle name="20% - Énfasis2" xfId="23" builtinId="34" customBuiltin="1"/>
    <cellStyle name="20% - Énfasis3" xfId="26" builtinId="38" customBuiltin="1"/>
    <cellStyle name="20% - Énfasis4" xfId="29" builtinId="42" customBuiltin="1"/>
    <cellStyle name="20% - Énfasis5" xfId="32" builtinId="46" customBuiltin="1"/>
    <cellStyle name="20% - Énfasis6" xfId="35" builtinId="50" customBuiltin="1"/>
    <cellStyle name="40% - Énfasis1" xfId="21" builtinId="31" customBuiltin="1"/>
    <cellStyle name="40% - Énfasis2" xfId="24" builtinId="35" customBuiltin="1"/>
    <cellStyle name="40% - Énfasis3" xfId="27" builtinId="39" customBuiltin="1"/>
    <cellStyle name="40% - Énfasis4" xfId="30" builtinId="43" customBuiltin="1"/>
    <cellStyle name="40% - Énfasis5" xfId="33" builtinId="47" customBuiltin="1"/>
    <cellStyle name="40% - Énfasis6" xfId="36" builtinId="51" customBuiltin="1"/>
    <cellStyle name="60% - Énfasis1 2" xfId="40" xr:uid="{00000000-0005-0000-0000-00000C000000}"/>
    <cellStyle name="60% - Énfasis2 2" xfId="41" xr:uid="{00000000-0005-0000-0000-00000D000000}"/>
    <cellStyle name="60% - Énfasis3 2" xfId="42" xr:uid="{00000000-0005-0000-0000-00000E000000}"/>
    <cellStyle name="60% - Énfasis4 2" xfId="43" xr:uid="{00000000-0005-0000-0000-00000F000000}"/>
    <cellStyle name="60% - Énfasis5 2" xfId="44" xr:uid="{00000000-0005-0000-0000-000010000000}"/>
    <cellStyle name="60% - Énfasis6 2" xfId="45" xr:uid="{00000000-0005-0000-0000-000011000000}"/>
    <cellStyle name="Bueno" xfId="8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2" builtinId="33" customBuiltin="1"/>
    <cellStyle name="Énfasis3" xfId="25" builtinId="37" customBuiltin="1"/>
    <cellStyle name="Énfasis4" xfId="28" builtinId="41" customBuiltin="1"/>
    <cellStyle name="Énfasis5" xfId="31" builtinId="45" customBuiltin="1"/>
    <cellStyle name="Énfasis6" xfId="34" builtinId="49" customBuiltin="1"/>
    <cellStyle name="Entrada" xfId="10" builtinId="20" customBuiltin="1"/>
    <cellStyle name="Incorrecto" xfId="9" builtinId="27" customBuiltin="1"/>
    <cellStyle name="Millares [0]" xfId="1" builtinId="6"/>
    <cellStyle name="Millares [0] 2" xfId="37" xr:uid="{00000000-0005-0000-0000-000021000000}"/>
    <cellStyle name="Millares [0] 2 2" xfId="51" xr:uid="{8EB0F839-B755-41A0-A585-D39AF55DA626}"/>
    <cellStyle name="Millares [0] 2 2 2" xfId="65" xr:uid="{F41702B9-D794-412D-A08F-0C667D3F6795}"/>
    <cellStyle name="Millares [0] 2 3" xfId="61" xr:uid="{6AB626A7-AFEB-4C04-ABC3-B1352D0D20B9}"/>
    <cellStyle name="Millares [0] 3" xfId="49" xr:uid="{780A76E1-C01B-4737-B99F-0883DE7FF88B}"/>
    <cellStyle name="Millares [0] 3 2" xfId="63" xr:uid="{875074CC-4726-449B-804A-247C82B0E3AE}"/>
    <cellStyle name="Millares [0] 4" xfId="60" xr:uid="{0747745A-0142-45C2-9CC7-99C9FF4AAD85}"/>
    <cellStyle name="Moneda [0]" xfId="59" builtinId="7"/>
    <cellStyle name="Moneda [0] 2" xfId="50" xr:uid="{2FCF3052-2771-4935-883A-38309F4B8E88}"/>
    <cellStyle name="Moneda [0] 2 2" xfId="64" xr:uid="{1E1CACE8-5C78-4CA7-831E-CCD1619D5A91}"/>
    <cellStyle name="Moneda [0] 3" xfId="72" xr:uid="{12B595DC-0C3E-407B-BC1D-0417F9C96AF3}"/>
    <cellStyle name="Moneda 2" xfId="38" xr:uid="{00000000-0005-0000-0000-000024000000}"/>
    <cellStyle name="Neutral 2" xfId="39" xr:uid="{00000000-0005-0000-0000-000025000000}"/>
    <cellStyle name="Normal" xfId="0" builtinId="0"/>
    <cellStyle name="Normal 10" xfId="58" xr:uid="{75FA7CDF-D6C7-461B-A9D2-4A34243DDC8C}"/>
    <cellStyle name="Normal 10 2" xfId="71" xr:uid="{D8F61573-C12F-4270-A2E5-BAD0E9CC367D}"/>
    <cellStyle name="Normal 2" xfId="46" xr:uid="{00000000-0005-0000-0000-000027000000}"/>
    <cellStyle name="Normal 3" xfId="47" xr:uid="{00000000-0005-0000-0000-000028000000}"/>
    <cellStyle name="Normal 3 2" xfId="52" xr:uid="{DCCF52E6-7957-461A-95E6-7677D3F8CB62}"/>
    <cellStyle name="Normal 4" xfId="48" xr:uid="{B1A0FEBE-2CFF-411D-ADA0-2F857523B530}"/>
    <cellStyle name="Normal 4 2" xfId="62" xr:uid="{7B9D9756-01B6-4DDA-88CB-2EAF8D21D64E}"/>
    <cellStyle name="Normal 5" xfId="53" xr:uid="{420EB464-6EC2-49E7-B8FA-62589C012D7E}"/>
    <cellStyle name="Normal 5 2" xfId="66" xr:uid="{D8FD9AB7-B5DB-432E-B4FD-572A0838A6A4}"/>
    <cellStyle name="Normal 6" xfId="54" xr:uid="{4A87D451-E933-44DE-B57A-43FBD91A5130}"/>
    <cellStyle name="Normal 6 2" xfId="67" xr:uid="{F8A7199F-9C96-4962-A7F1-FF411F73E751}"/>
    <cellStyle name="Normal 7" xfId="55" xr:uid="{077A61CE-EE00-4E72-954D-EB23F105D775}"/>
    <cellStyle name="Normal 7 2" xfId="68" xr:uid="{4D58F8AF-B1E6-41AF-9F2F-79BE1ED90CE9}"/>
    <cellStyle name="Normal 8" xfId="56" xr:uid="{9CB74F41-5570-4888-8DD2-776BA35809C9}"/>
    <cellStyle name="Normal 8 2" xfId="69" xr:uid="{4A8136D4-BB22-43EB-BB8D-3CA4DC5717FE}"/>
    <cellStyle name="Normal 9" xfId="57" xr:uid="{048205F3-7321-4729-89CF-124AAE1FCB4F}"/>
    <cellStyle name="Normal 9 2" xfId="70" xr:uid="{38626EEF-77D0-4C82-978B-BFC0F170FD29}"/>
    <cellStyle name="Notas" xfId="16" builtinId="10" customBuiltin="1"/>
    <cellStyle name="Porcentaje" xfId="2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48"/>
  <sheetViews>
    <sheetView tabSelected="1" topLeftCell="A8" zoomScale="90" zoomScaleNormal="90" workbookViewId="0">
      <selection activeCell="G28" sqref="G28"/>
    </sheetView>
  </sheetViews>
  <sheetFormatPr baseColWidth="10" defaultColWidth="11.42578125" defaultRowHeight="13.5" x14ac:dyDescent="0.25"/>
  <cols>
    <col min="1" max="1" width="11.42578125" style="9" customWidth="1"/>
    <col min="2" max="2" width="24.85546875" style="9" customWidth="1"/>
    <col min="3" max="3" width="15.140625" style="9" bestFit="1" customWidth="1"/>
    <col min="4" max="4" width="13.140625" style="9" customWidth="1"/>
    <col min="5" max="5" width="14.85546875" style="9" customWidth="1"/>
    <col min="6" max="6" width="11.5703125" style="9" customWidth="1"/>
    <col min="7" max="7" width="13.85546875" style="9" customWidth="1"/>
    <col min="8" max="8" width="11.5703125" style="9" customWidth="1"/>
    <col min="9" max="9" width="13.85546875" style="9" customWidth="1"/>
    <col min="10" max="10" width="11.5703125" style="9" customWidth="1"/>
    <col min="11" max="11" width="12.85546875" style="9" customWidth="1"/>
    <col min="12" max="12" width="11.5703125" style="9" customWidth="1"/>
    <col min="13" max="13" width="13" style="9" customWidth="1"/>
    <col min="14" max="14" width="11.5703125" style="9" customWidth="1"/>
    <col min="15" max="15" width="13.85546875" style="9" customWidth="1"/>
    <col min="16" max="16" width="11.42578125" style="9"/>
    <col min="17" max="17" width="12.7109375" style="9" bestFit="1" customWidth="1"/>
    <col min="18" max="18" width="11.42578125" style="9"/>
    <col min="19" max="19" width="12.7109375" style="9" bestFit="1" customWidth="1"/>
    <col min="20" max="20" width="13.140625" style="9" bestFit="1" customWidth="1"/>
    <col min="21" max="21" width="12.7109375" style="9" bestFit="1" customWidth="1"/>
    <col min="22" max="22" width="13.140625" style="9" bestFit="1" customWidth="1"/>
    <col min="23" max="23" width="12.7109375" style="9" bestFit="1" customWidth="1"/>
    <col min="24" max="24" width="12.85546875" style="9" bestFit="1" customWidth="1"/>
    <col min="25" max="25" width="12.7109375" style="9" bestFit="1" customWidth="1"/>
    <col min="26" max="26" width="12.28515625" style="9" bestFit="1" customWidth="1"/>
    <col min="27" max="16384" width="11.42578125" style="9"/>
  </cols>
  <sheetData>
    <row r="2" spans="2:15" ht="15" x14ac:dyDescent="0.25">
      <c r="B2" s="92" t="s">
        <v>67</v>
      </c>
      <c r="C2" s="92"/>
    </row>
    <row r="3" spans="2:15" ht="15" x14ac:dyDescent="0.25">
      <c r="B3" s="60" t="s">
        <v>68</v>
      </c>
      <c r="C3" s="61"/>
    </row>
    <row r="4" spans="2:15" x14ac:dyDescent="0.25">
      <c r="B4" s="62" t="s">
        <v>69</v>
      </c>
      <c r="C4" s="63" t="s">
        <v>24</v>
      </c>
      <c r="D4" s="63" t="s">
        <v>25</v>
      </c>
      <c r="E4" s="63" t="s">
        <v>28</v>
      </c>
      <c r="F4" s="63" t="s">
        <v>29</v>
      </c>
      <c r="G4" s="63" t="s">
        <v>30</v>
      </c>
      <c r="H4" s="63" t="s">
        <v>31</v>
      </c>
      <c r="I4" s="63" t="s">
        <v>37</v>
      </c>
      <c r="J4" s="63" t="s">
        <v>38</v>
      </c>
      <c r="K4" s="63" t="s">
        <v>39</v>
      </c>
      <c r="L4" s="63" t="s">
        <v>40</v>
      </c>
      <c r="M4" s="63" t="s">
        <v>41</v>
      </c>
      <c r="N4" s="63" t="s">
        <v>42</v>
      </c>
      <c r="O4" s="63" t="s">
        <v>26</v>
      </c>
    </row>
    <row r="5" spans="2:15" ht="15" x14ac:dyDescent="0.25">
      <c r="B5" s="64" t="s">
        <v>70</v>
      </c>
      <c r="C5" s="65">
        <v>0</v>
      </c>
      <c r="D5" s="65">
        <v>0</v>
      </c>
      <c r="E5" s="65">
        <v>0</v>
      </c>
      <c r="F5" s="65">
        <v>0</v>
      </c>
      <c r="G5" s="65">
        <v>0</v>
      </c>
      <c r="H5" s="65"/>
      <c r="I5" s="65"/>
      <c r="J5" s="65"/>
      <c r="K5" s="65"/>
      <c r="L5" s="65"/>
      <c r="M5" s="65"/>
      <c r="N5" s="65"/>
      <c r="O5" s="66">
        <f>SUM(C5:N5)</f>
        <v>0</v>
      </c>
    </row>
    <row r="6" spans="2:15" ht="15" x14ac:dyDescent="0.25">
      <c r="B6" s="64" t="s">
        <v>71</v>
      </c>
      <c r="C6" s="65">
        <v>0</v>
      </c>
      <c r="D6" s="65">
        <v>0</v>
      </c>
      <c r="E6" s="65">
        <v>0</v>
      </c>
      <c r="F6" s="65">
        <v>0</v>
      </c>
      <c r="G6" s="65">
        <v>0</v>
      </c>
      <c r="H6" s="65"/>
      <c r="I6" s="65"/>
      <c r="J6" s="65"/>
      <c r="K6" s="65"/>
      <c r="L6" s="65"/>
      <c r="M6" s="65"/>
      <c r="N6" s="65"/>
      <c r="O6" s="66">
        <f>SUM(C6:N6)</f>
        <v>0</v>
      </c>
    </row>
    <row r="7" spans="2:15" ht="15" x14ac:dyDescent="0.25">
      <c r="B7" s="64" t="s">
        <v>18</v>
      </c>
      <c r="C7" s="67">
        <f>SUM(C5:C6)</f>
        <v>0</v>
      </c>
      <c r="D7" s="67">
        <v>0</v>
      </c>
      <c r="E7" s="67">
        <v>0</v>
      </c>
      <c r="F7" s="67">
        <v>0</v>
      </c>
      <c r="G7" s="67">
        <v>0</v>
      </c>
      <c r="H7" s="67"/>
      <c r="I7" s="67"/>
      <c r="J7" s="67"/>
      <c r="K7" s="67"/>
      <c r="L7" s="67"/>
      <c r="M7" s="67"/>
      <c r="N7" s="67"/>
      <c r="O7" s="66">
        <f>SUM(O5:O6)</f>
        <v>0</v>
      </c>
    </row>
    <row r="8" spans="2:15" ht="15" x14ac:dyDescent="0.25">
      <c r="B8" s="82" t="s">
        <v>72</v>
      </c>
      <c r="C8" s="83">
        <f>+C7/C17</f>
        <v>0</v>
      </c>
      <c r="D8" s="83">
        <f>+D7/D17</f>
        <v>0</v>
      </c>
      <c r="E8" s="83">
        <f>+E7/E17</f>
        <v>0</v>
      </c>
      <c r="F8" s="83">
        <f>+F7/F17</f>
        <v>0</v>
      </c>
      <c r="G8" s="83">
        <f>+G7/G17</f>
        <v>0</v>
      </c>
      <c r="H8" s="83"/>
      <c r="I8" s="83"/>
      <c r="J8" s="83"/>
      <c r="K8" s="83"/>
      <c r="L8" s="83"/>
      <c r="M8" s="83"/>
      <c r="N8" s="83"/>
      <c r="O8" s="83">
        <f>+O7/O17</f>
        <v>0</v>
      </c>
    </row>
    <row r="10" spans="2:15" ht="15" x14ac:dyDescent="0.25">
      <c r="B10" s="8" t="s">
        <v>16</v>
      </c>
    </row>
    <row r="11" spans="2:15" x14ac:dyDescent="0.25">
      <c r="B11" s="10" t="s">
        <v>17</v>
      </c>
      <c r="C11" s="11" t="s">
        <v>24</v>
      </c>
      <c r="D11" s="11" t="s">
        <v>25</v>
      </c>
      <c r="E11" s="11" t="s">
        <v>28</v>
      </c>
      <c r="F11" s="11" t="s">
        <v>29</v>
      </c>
      <c r="G11" s="11" t="s">
        <v>30</v>
      </c>
      <c r="H11" s="11" t="s">
        <v>31</v>
      </c>
      <c r="I11" s="11" t="s">
        <v>37</v>
      </c>
      <c r="J11" s="11" t="s">
        <v>38</v>
      </c>
      <c r="K11" s="11" t="s">
        <v>39</v>
      </c>
      <c r="L11" s="11" t="s">
        <v>40</v>
      </c>
      <c r="M11" s="11" t="s">
        <v>41</v>
      </c>
      <c r="N11" s="11" t="s">
        <v>42</v>
      </c>
      <c r="O11" s="11" t="s">
        <v>26</v>
      </c>
    </row>
    <row r="12" spans="2:15" ht="15" x14ac:dyDescent="0.3">
      <c r="B12" s="12" t="s">
        <v>54</v>
      </c>
      <c r="C12" s="13">
        <f>COUNTIF('Compras Enero'!$D$2:$D$6,"Convenio Marco")</f>
        <v>0</v>
      </c>
      <c r="D12" s="13">
        <f>COUNTIF('Compras Febrero'!$D$2:$D$7,"Convenio Marco")</f>
        <v>2</v>
      </c>
      <c r="E12" s="13">
        <f>COUNTIF('Compras Marzo'!$D$2:$D$4,"Convenio Marco")</f>
        <v>0</v>
      </c>
      <c r="F12" s="13">
        <f>COUNTIF('Compras Abril'!$D$2:$D$10,"Convenio Marco")</f>
        <v>0</v>
      </c>
      <c r="G12" s="13">
        <f>COUNTIF('Compras Mayo'!$D$2:$D$5,"Convenio Marco")</f>
        <v>0</v>
      </c>
      <c r="H12" s="13"/>
      <c r="I12" s="13"/>
      <c r="J12" s="13"/>
      <c r="K12" s="13"/>
      <c r="L12" s="13"/>
      <c r="M12" s="13"/>
      <c r="N12" s="13"/>
      <c r="O12" s="14">
        <f>SUM(C12:N12)</f>
        <v>2</v>
      </c>
    </row>
    <row r="13" spans="2:15" ht="15" x14ac:dyDescent="0.3">
      <c r="B13" s="12" t="s">
        <v>0</v>
      </c>
      <c r="C13" s="13">
        <f>COUNTIF('Compras Enero'!$D$2:$D$6,"Licitaciones")</f>
        <v>0</v>
      </c>
      <c r="D13" s="13">
        <f>COUNTIF('Compras Febrero'!$D$2:$D$7,"Licitaciones")</f>
        <v>0</v>
      </c>
      <c r="E13" s="13">
        <f>COUNTIF('Compras Marzo'!$D$2:$D$4,"Licitaciones")</f>
        <v>1</v>
      </c>
      <c r="F13" s="13">
        <f>COUNTIF('Compras Abril'!$D$2:$D$10,"Licitaciones")</f>
        <v>0</v>
      </c>
      <c r="G13" s="13">
        <f>COUNTIF('Compras Mayo'!$D$2:$D$5,"Licitaciones")</f>
        <v>0</v>
      </c>
      <c r="H13" s="13"/>
      <c r="I13" s="13"/>
      <c r="J13" s="13"/>
      <c r="K13" s="13"/>
      <c r="L13" s="13"/>
      <c r="M13" s="13"/>
      <c r="N13" s="13"/>
      <c r="O13" s="14">
        <f>SUM(C13:N13)</f>
        <v>1</v>
      </c>
    </row>
    <row r="14" spans="2:15" ht="15" x14ac:dyDescent="0.3">
      <c r="B14" s="12" t="s">
        <v>27</v>
      </c>
      <c r="C14" s="13">
        <f>COUNTIF('Compras Enero'!$D$2:$D$6,"Trato Directo")</f>
        <v>0</v>
      </c>
      <c r="D14" s="13">
        <f>COUNTIF('Compras Febrero'!$D$2:$D$7,"Trato Directo")</f>
        <v>1</v>
      </c>
      <c r="E14" s="13">
        <f>COUNTIF('Compras Marzo'!$D$2:$D$4,"Trato Directo")</f>
        <v>0</v>
      </c>
      <c r="F14" s="13">
        <f>COUNTIF('Compras Abril'!$D$2:$D$10,"Trato Directo")</f>
        <v>0</v>
      </c>
      <c r="G14" s="13">
        <f>COUNTIF('Compras Mayo'!$D$2:$D$5,"Trato Directo")</f>
        <v>0</v>
      </c>
      <c r="H14" s="13"/>
      <c r="I14" s="13"/>
      <c r="J14" s="13"/>
      <c r="K14" s="13"/>
      <c r="L14" s="13"/>
      <c r="M14" s="13"/>
      <c r="N14" s="13"/>
      <c r="O14" s="14">
        <f t="shared" ref="O14:O16" si="0">SUM(C14:N14)</f>
        <v>1</v>
      </c>
    </row>
    <row r="15" spans="2:15" ht="15" x14ac:dyDescent="0.3">
      <c r="B15" s="12" t="s">
        <v>56</v>
      </c>
      <c r="C15" s="13">
        <f>COUNTIF('Compras Enero'!$D$2:$D$6,"Compra Ágil")</f>
        <v>5</v>
      </c>
      <c r="D15" s="13">
        <f>COUNTIF('Compras Febrero'!$D$2:$D$7,"Compra Ágil")</f>
        <v>3</v>
      </c>
      <c r="E15" s="13">
        <f>COUNTIF('Compras Marzo'!$D$2:$D$4,"Compra Ágil")</f>
        <v>2</v>
      </c>
      <c r="F15" s="13">
        <f>COUNTIF('Compras Abril'!$D$2:$D$10,"Compra Ágil")</f>
        <v>9</v>
      </c>
      <c r="G15" s="13">
        <f>COUNTIF('Compras Mayo'!$D$2:$D$5,"Compra Ágil")</f>
        <v>4</v>
      </c>
      <c r="H15" s="13"/>
      <c r="I15" s="13"/>
      <c r="J15" s="13"/>
      <c r="K15" s="13"/>
      <c r="L15" s="13"/>
      <c r="M15" s="13"/>
      <c r="N15" s="13"/>
      <c r="O15" s="14">
        <f t="shared" si="0"/>
        <v>23</v>
      </c>
    </row>
    <row r="16" spans="2:15" ht="15" x14ac:dyDescent="0.3">
      <c r="B16" s="12" t="s">
        <v>1</v>
      </c>
      <c r="C16" s="13">
        <f>COUNTIF('Compras Enero'!$D$2:$D$6,"Compras Coordinadas")</f>
        <v>0</v>
      </c>
      <c r="D16" s="13">
        <f>COUNTIF('Compras Febrero'!$D$2:$D$7,"Compras Coordinadas")</f>
        <v>0</v>
      </c>
      <c r="E16" s="13">
        <f>COUNTIF('Compras Marzo'!$D$2:$D$4,"Compras Coordinadas")</f>
        <v>0</v>
      </c>
      <c r="F16" s="13">
        <f>COUNTIF('Compras Abril'!$D$2:$D$10,"Compras Coordinadas")</f>
        <v>0</v>
      </c>
      <c r="G16" s="13">
        <f>COUNTIF('Compras Mayo'!$D$2:$D$5,"Compras Coordinadas")</f>
        <v>0</v>
      </c>
      <c r="H16" s="13"/>
      <c r="I16" s="13"/>
      <c r="J16" s="13"/>
      <c r="K16" s="13"/>
      <c r="L16" s="13"/>
      <c r="M16" s="13"/>
      <c r="N16" s="13"/>
      <c r="O16" s="14">
        <f t="shared" si="0"/>
        <v>0</v>
      </c>
    </row>
    <row r="17" spans="2:21" ht="15.75" x14ac:dyDescent="0.3">
      <c r="B17" s="12" t="s">
        <v>18</v>
      </c>
      <c r="C17" s="15">
        <f t="shared" ref="C17:I17" si="1">SUM(C12:C16)</f>
        <v>5</v>
      </c>
      <c r="D17" s="15">
        <f t="shared" si="1"/>
        <v>6</v>
      </c>
      <c r="E17" s="15">
        <f t="shared" si="1"/>
        <v>3</v>
      </c>
      <c r="F17" s="15">
        <f t="shared" si="1"/>
        <v>9</v>
      </c>
      <c r="G17" s="15">
        <f t="shared" si="1"/>
        <v>4</v>
      </c>
      <c r="H17" s="15">
        <f t="shared" si="1"/>
        <v>0</v>
      </c>
      <c r="I17" s="15">
        <f t="shared" si="1"/>
        <v>0</v>
      </c>
      <c r="J17" s="15">
        <f t="shared" ref="J17:K17" si="2">SUM(J12:J16)</f>
        <v>0</v>
      </c>
      <c r="K17" s="15">
        <f t="shared" si="2"/>
        <v>0</v>
      </c>
      <c r="L17" s="15">
        <f>SUM(L12:L16)</f>
        <v>0</v>
      </c>
      <c r="M17" s="32">
        <f>SUM(M12:M16)</f>
        <v>0</v>
      </c>
      <c r="N17" s="32">
        <f>SUM(N12:N16)</f>
        <v>0</v>
      </c>
      <c r="O17" s="14">
        <f>SUM(O12:O16)</f>
        <v>27</v>
      </c>
      <c r="P17" s="22">
        <f>+O17-'OC Acumulado'!U37</f>
        <v>0</v>
      </c>
      <c r="Q17"/>
      <c r="R17"/>
      <c r="S17"/>
      <c r="U17"/>
    </row>
    <row r="19" spans="2:21" ht="15" x14ac:dyDescent="0.25">
      <c r="B19" s="8" t="s">
        <v>59</v>
      </c>
    </row>
    <row r="20" spans="2:21" x14ac:dyDescent="0.25">
      <c r="B20" s="10" t="s">
        <v>17</v>
      </c>
      <c r="C20" s="11" t="s">
        <v>24</v>
      </c>
      <c r="D20" s="11" t="s">
        <v>25</v>
      </c>
      <c r="E20" s="11" t="s">
        <v>28</v>
      </c>
      <c r="F20" s="11" t="s">
        <v>29</v>
      </c>
      <c r="G20" s="11" t="s">
        <v>30</v>
      </c>
      <c r="H20" s="11" t="s">
        <v>31</v>
      </c>
      <c r="I20" s="11" t="s">
        <v>37</v>
      </c>
      <c r="J20" s="11" t="s">
        <v>38</v>
      </c>
      <c r="K20" s="11" t="s">
        <v>39</v>
      </c>
      <c r="L20" s="11" t="s">
        <v>40</v>
      </c>
      <c r="M20" s="11" t="s">
        <v>41</v>
      </c>
      <c r="N20" s="11" t="s">
        <v>42</v>
      </c>
      <c r="O20" s="11" t="s">
        <v>26</v>
      </c>
    </row>
    <row r="21" spans="2:21" ht="15" x14ac:dyDescent="0.3">
      <c r="B21" s="12" t="s">
        <v>54</v>
      </c>
      <c r="C21" s="50">
        <f>SUMIFS('Compras Enero'!$S$2:$S$6,'Compras Enero'!$D$2:$D$6,"Convenio Marco")</f>
        <v>0</v>
      </c>
      <c r="D21" s="50">
        <f>SUMIFS('Compras Febrero'!$S$2:$S$7,'Compras Febrero'!$D$2:$D$7,"Convenio Marco")</f>
        <v>112552</v>
      </c>
      <c r="E21" s="50">
        <f>SUMIFS('Compras Marzo'!$S$2:$S$4,'Compras Marzo'!$D$2:$D$4,"Convenio Marco")</f>
        <v>0</v>
      </c>
      <c r="F21" s="50">
        <f>SUMIFS('Compras Abril'!$S$2:$S$10,'Compras Abril'!$D$2:$D$10,"Convenio Marco")</f>
        <v>0</v>
      </c>
      <c r="G21" s="50">
        <f>SUMIFS('Compras Mayo'!$S$2:$S$5,'Compras Mayo'!$D$2:$D$5,"Convenio Marco")</f>
        <v>0</v>
      </c>
      <c r="H21" s="50"/>
      <c r="I21" s="50"/>
      <c r="J21" s="50"/>
      <c r="K21" s="50"/>
      <c r="L21" s="50"/>
      <c r="M21" s="50"/>
      <c r="N21" s="50"/>
      <c r="O21" s="51">
        <f t="shared" ref="O21:O26" si="3">SUM(C21:N21)</f>
        <v>112552</v>
      </c>
      <c r="R21" s="21"/>
    </row>
    <row r="22" spans="2:21" ht="15" x14ac:dyDescent="0.3">
      <c r="B22" s="12" t="s">
        <v>0</v>
      </c>
      <c r="C22" s="50">
        <f>SUMIFS('Compras Enero'!$S$2:$S$6,'Compras Enero'!$D$2:$D$6,"Licitaciones")</f>
        <v>0</v>
      </c>
      <c r="D22" s="50">
        <f>SUMIFS('Compras Febrero'!$S$2:$S$7,'Compras Febrero'!$D$2:$D$7,"Licitaciones")</f>
        <v>0</v>
      </c>
      <c r="E22" s="50">
        <f>SUMIFS('Compras Marzo'!$S$2:$S$4,'Compras Marzo'!$D$2:$D$4,"Licitaciones")</f>
        <v>29999999.960000001</v>
      </c>
      <c r="F22" s="50">
        <f>SUMIFS('Compras Abril'!$S$2:$S$10,'Compras Abril'!$D$2:$D$10,"Licitaciones")</f>
        <v>0</v>
      </c>
      <c r="G22" s="50">
        <f>SUMIFS('Compras Mayo'!$S$2:$S$5,'Compras Mayo'!$D$2:$D$5,"Licitaciones")</f>
        <v>0</v>
      </c>
      <c r="H22" s="50"/>
      <c r="I22" s="50"/>
      <c r="J22" s="50"/>
      <c r="K22" s="50"/>
      <c r="L22" s="50"/>
      <c r="M22" s="50"/>
      <c r="N22" s="50"/>
      <c r="O22" s="51">
        <f t="shared" si="3"/>
        <v>29999999.960000001</v>
      </c>
    </row>
    <row r="23" spans="2:21" ht="15" x14ac:dyDescent="0.3">
      <c r="B23" s="12" t="s">
        <v>27</v>
      </c>
      <c r="C23" s="50">
        <f>SUMIFS('Compras Enero'!$S$2:$S$6,'Compras Enero'!$D$2:$D$6,"Trato Directo")</f>
        <v>0</v>
      </c>
      <c r="D23" s="50">
        <f>SUMIFS('Compras Febrero'!$S$2:$S$7,'Compras Febrero'!$D$2:$D$7,"Trato Directo")</f>
        <v>236281700</v>
      </c>
      <c r="E23" s="50">
        <f>SUMIFS('Compras Marzo'!$S$2:$S$4,'Compras Marzo'!$D$2:$D$4,"Trato Directo")</f>
        <v>0</v>
      </c>
      <c r="F23" s="50">
        <f>SUMIFS('Compras Abril'!$S$2:$S$10,'Compras Abril'!$D$2:$D$10,"Trato Directo")</f>
        <v>0</v>
      </c>
      <c r="G23" s="50">
        <f>SUMIFS('Compras Mayo'!$S$2:$S$5,'Compras Mayo'!$D$2:$D$5,"Trato Directo")</f>
        <v>0</v>
      </c>
      <c r="H23" s="50"/>
      <c r="I23" s="50"/>
      <c r="J23" s="50"/>
      <c r="K23" s="50"/>
      <c r="L23" s="50"/>
      <c r="M23" s="50"/>
      <c r="N23" s="50"/>
      <c r="O23" s="51">
        <f t="shared" si="3"/>
        <v>236281700</v>
      </c>
      <c r="R23" s="24"/>
    </row>
    <row r="24" spans="2:21" ht="15" x14ac:dyDescent="0.3">
      <c r="B24" s="12" t="s">
        <v>56</v>
      </c>
      <c r="C24" s="50">
        <f>SUMIFS('Compras Enero'!$S$2:$S$6,'Compras Enero'!$D$2:$D$6,"Compra Ágil")</f>
        <v>4193492.17</v>
      </c>
      <c r="D24" s="50">
        <f>SUMIFS('Compras Febrero'!$S$2:$S$7,'Compras Febrero'!$D$2:$D$7,"Compra Ágil")</f>
        <v>3519806</v>
      </c>
      <c r="E24" s="50">
        <f>SUMIFS('Compras Marzo'!$S$2:$S$4,'Compras Marzo'!$D$2:$D$4,"Compra Ágil")</f>
        <v>952595</v>
      </c>
      <c r="F24" s="50">
        <f>SUMIFS('Compras Abril'!$S$2:$S$10,'Compras Abril'!$D$2:$D$10,"Compra Ágil")</f>
        <v>17065486.66</v>
      </c>
      <c r="G24" s="50">
        <f>SUMIFS('Compras Mayo'!$S$2:$S$5,'Compras Mayo'!$D$2:$D$5,"Compra Ágil")</f>
        <v>3337854.8</v>
      </c>
      <c r="H24" s="50"/>
      <c r="I24" s="50"/>
      <c r="J24" s="50"/>
      <c r="K24" s="50"/>
      <c r="L24" s="50"/>
      <c r="M24" s="50"/>
      <c r="N24" s="50"/>
      <c r="O24" s="51">
        <f t="shared" si="3"/>
        <v>29069234.629999999</v>
      </c>
    </row>
    <row r="25" spans="2:21" ht="15" x14ac:dyDescent="0.3">
      <c r="B25" s="12" t="s">
        <v>1</v>
      </c>
      <c r="C25" s="50">
        <f>SUMIFS('Compras Enero'!$S$2:$S$6,'Compras Enero'!$D$2:$D$6,"Compras Coordinadas")</f>
        <v>0</v>
      </c>
      <c r="D25" s="50">
        <f>SUMIFS('Compras Febrero'!$S$2:$S$7,'Compras Febrero'!$D$2:$D$7,"Compras Coordinadas")</f>
        <v>0</v>
      </c>
      <c r="E25" s="50">
        <f>SUMIFS('Compras Marzo'!$S$2:$S$4,'Compras Marzo'!$D$2:$D$4,"Compras Coordinadas")</f>
        <v>0</v>
      </c>
      <c r="F25" s="50">
        <f>SUMIFS('Compras Abril'!$S$2:$S$10,'Compras Abril'!$D$2:$D$10,"Compras Coordinadas")</f>
        <v>0</v>
      </c>
      <c r="G25" s="50">
        <f>SUMIFS('Compras Mayo'!$S$2:$S$5,'Compras Mayo'!$D$2:$D$5,"Compras Coordinadas")</f>
        <v>0</v>
      </c>
      <c r="H25" s="50"/>
      <c r="I25" s="50"/>
      <c r="J25" s="50"/>
      <c r="K25" s="50"/>
      <c r="L25" s="50"/>
      <c r="M25" s="50"/>
      <c r="N25" s="50"/>
      <c r="O25" s="51">
        <f t="shared" si="3"/>
        <v>0</v>
      </c>
    </row>
    <row r="26" spans="2:21" ht="15" x14ac:dyDescent="0.3">
      <c r="B26" s="12" t="s">
        <v>18</v>
      </c>
      <c r="C26" s="51">
        <f>SUM(C21:C25)</f>
        <v>4193492.17</v>
      </c>
      <c r="D26" s="52">
        <f t="shared" ref="D26:N26" si="4">SUM(D21:D25)</f>
        <v>239914058</v>
      </c>
      <c r="E26" s="52">
        <f t="shared" si="4"/>
        <v>30952594.960000001</v>
      </c>
      <c r="F26" s="52">
        <f t="shared" si="4"/>
        <v>17065486.66</v>
      </c>
      <c r="G26" s="52">
        <f t="shared" si="4"/>
        <v>3337854.8</v>
      </c>
      <c r="H26" s="52">
        <f t="shared" si="4"/>
        <v>0</v>
      </c>
      <c r="I26" s="52">
        <f t="shared" si="4"/>
        <v>0</v>
      </c>
      <c r="J26" s="52">
        <f t="shared" si="4"/>
        <v>0</v>
      </c>
      <c r="K26" s="52">
        <f t="shared" si="4"/>
        <v>0</v>
      </c>
      <c r="L26" s="52">
        <f t="shared" si="4"/>
        <v>0</v>
      </c>
      <c r="M26" s="52">
        <f>SUM(M21:M25)</f>
        <v>0</v>
      </c>
      <c r="N26" s="52">
        <f t="shared" si="4"/>
        <v>0</v>
      </c>
      <c r="O26" s="53">
        <f t="shared" si="3"/>
        <v>295463486.59000003</v>
      </c>
      <c r="P26" s="22">
        <f>+O26-'OC Acumulado'!U36</f>
        <v>0</v>
      </c>
    </row>
    <row r="27" spans="2:21" x14ac:dyDescent="0.25">
      <c r="C27" s="54">
        <f>+'Compras Enero'!S7</f>
        <v>4193492.17</v>
      </c>
      <c r="D27" s="54">
        <f>+'Compras Febrero'!S8</f>
        <v>239914058</v>
      </c>
      <c r="E27" s="54">
        <f>+'Compras Marzo'!S5</f>
        <v>30952594.960000001</v>
      </c>
      <c r="F27" s="54">
        <f>+'Compras Abril'!S11</f>
        <v>17065486.66</v>
      </c>
      <c r="G27" s="54">
        <f>+'Compras Mayo'!S6</f>
        <v>3337854.8</v>
      </c>
      <c r="H27" s="54"/>
      <c r="I27" s="54"/>
      <c r="J27" s="54"/>
      <c r="K27" s="54"/>
      <c r="L27" s="54"/>
      <c r="M27" s="54"/>
      <c r="N27" s="54"/>
      <c r="O27" s="54">
        <f>+'OC Acumulado'!S36</f>
        <v>295463486.59000003</v>
      </c>
    </row>
    <row r="28" spans="2:21" x14ac:dyDescent="0.25">
      <c r="C28" s="22"/>
      <c r="D28" s="22"/>
      <c r="E28" s="22"/>
      <c r="F28" s="22"/>
      <c r="G28" s="22"/>
    </row>
    <row r="29" spans="2:21" x14ac:dyDescent="0.25">
      <c r="B29" s="10" t="s">
        <v>23</v>
      </c>
      <c r="C29" s="11" t="s">
        <v>24</v>
      </c>
      <c r="D29" s="11" t="s">
        <v>25</v>
      </c>
      <c r="E29" s="11" t="s">
        <v>28</v>
      </c>
      <c r="F29" s="11" t="s">
        <v>29</v>
      </c>
      <c r="G29" s="11" t="s">
        <v>30</v>
      </c>
      <c r="H29" s="11" t="s">
        <v>31</v>
      </c>
      <c r="I29" s="11" t="s">
        <v>37</v>
      </c>
      <c r="J29" s="11" t="s">
        <v>38</v>
      </c>
      <c r="K29" s="11" t="s">
        <v>39</v>
      </c>
      <c r="L29" s="11" t="s">
        <v>40</v>
      </c>
      <c r="M29" s="11" t="s">
        <v>41</v>
      </c>
      <c r="N29" s="11" t="s">
        <v>42</v>
      </c>
      <c r="O29" s="11" t="s">
        <v>26</v>
      </c>
    </row>
    <row r="30" spans="2:21" x14ac:dyDescent="0.25">
      <c r="B30" s="12" t="s">
        <v>19</v>
      </c>
      <c r="C30" s="16">
        <v>691050</v>
      </c>
      <c r="D30" s="16">
        <v>681966</v>
      </c>
      <c r="E30" s="16">
        <v>1061182</v>
      </c>
      <c r="F30" s="16">
        <v>688258</v>
      </c>
      <c r="G30" s="16"/>
      <c r="H30" s="16"/>
      <c r="I30" s="16"/>
      <c r="J30" s="18"/>
      <c r="K30" s="18"/>
      <c r="L30" s="23"/>
      <c r="M30" s="23"/>
      <c r="N30" s="23"/>
      <c r="O30" s="23">
        <f>SUM(C30:N30)</f>
        <v>3122456</v>
      </c>
      <c r="R30" s="21"/>
    </row>
    <row r="31" spans="2:21" x14ac:dyDescent="0.25">
      <c r="B31" s="12" t="s">
        <v>20</v>
      </c>
      <c r="C31" s="17">
        <f>+C30</f>
        <v>691050</v>
      </c>
      <c r="D31" s="17">
        <f>+D30+C31</f>
        <v>1373016</v>
      </c>
      <c r="E31" s="17">
        <f>+E30+D31</f>
        <v>2434198</v>
      </c>
      <c r="F31" s="17">
        <f>+F30+E31</f>
        <v>3122456</v>
      </c>
      <c r="G31" s="17"/>
      <c r="H31" s="17"/>
      <c r="I31" s="17"/>
      <c r="J31" s="17"/>
      <c r="K31" s="17"/>
      <c r="L31" s="17"/>
      <c r="M31" s="17"/>
      <c r="N31" s="17"/>
      <c r="O31" s="17">
        <f>MAX(C31:N31)</f>
        <v>3122456</v>
      </c>
    </row>
    <row r="32" spans="2:21" ht="15" x14ac:dyDescent="0.3">
      <c r="B32" s="12" t="s">
        <v>21</v>
      </c>
      <c r="C32" s="25">
        <f>C31/$C$47</f>
        <v>7.853823529512044E-2</v>
      </c>
      <c r="D32" s="25">
        <f>D31/$C$47</f>
        <v>0.1560440686954129</v>
      </c>
      <c r="E32" s="25">
        <f>E31/$C$47</f>
        <v>0.27664802153087564</v>
      </c>
      <c r="F32" s="25">
        <f>F31/$C$47</f>
        <v>0.35486894439861166</v>
      </c>
      <c r="G32" s="25"/>
      <c r="H32" s="25"/>
      <c r="I32" s="25"/>
      <c r="J32" s="25"/>
      <c r="K32" s="25"/>
      <c r="L32" s="25"/>
      <c r="M32" s="25"/>
      <c r="N32" s="25"/>
      <c r="O32" s="25"/>
    </row>
    <row r="33" spans="2:15" x14ac:dyDescent="0.25">
      <c r="C33" s="19"/>
      <c r="J33" s="28"/>
    </row>
    <row r="34" spans="2:15" x14ac:dyDescent="0.25">
      <c r="B34" s="10" t="s">
        <v>64</v>
      </c>
      <c r="C34" s="11" t="s">
        <v>24</v>
      </c>
      <c r="D34" s="11" t="s">
        <v>25</v>
      </c>
      <c r="E34" s="11" t="s">
        <v>28</v>
      </c>
      <c r="F34" s="11" t="s">
        <v>29</v>
      </c>
      <c r="G34" s="11" t="s">
        <v>30</v>
      </c>
      <c r="H34" s="11" t="s">
        <v>31</v>
      </c>
      <c r="I34" s="11" t="s">
        <v>37</v>
      </c>
      <c r="J34" s="11" t="s">
        <v>38</v>
      </c>
      <c r="K34" s="11" t="s">
        <v>39</v>
      </c>
      <c r="L34" s="11" t="s">
        <v>40</v>
      </c>
      <c r="M34" s="11" t="s">
        <v>41</v>
      </c>
      <c r="N34" s="11" t="s">
        <v>42</v>
      </c>
      <c r="O34" s="11" t="s">
        <v>26</v>
      </c>
    </row>
    <row r="35" spans="2:15" x14ac:dyDescent="0.25">
      <c r="B35" s="12" t="s">
        <v>60</v>
      </c>
      <c r="C35" s="16">
        <v>526896</v>
      </c>
      <c r="D35" s="16">
        <v>566206</v>
      </c>
      <c r="E35" s="16">
        <v>785533</v>
      </c>
      <c r="F35" s="16">
        <v>571865</v>
      </c>
      <c r="G35" s="16"/>
      <c r="H35" s="16"/>
      <c r="I35" s="16"/>
      <c r="J35" s="16"/>
      <c r="K35" s="16"/>
      <c r="L35" s="16"/>
      <c r="M35" s="16"/>
      <c r="N35" s="16"/>
      <c r="O35" s="16">
        <f>SUM(C35:N35)</f>
        <v>2450500</v>
      </c>
    </row>
    <row r="36" spans="2:15" x14ac:dyDescent="0.25">
      <c r="B36" s="12" t="s">
        <v>61</v>
      </c>
      <c r="C36" s="16">
        <v>102162</v>
      </c>
      <c r="D36" s="16">
        <v>103103</v>
      </c>
      <c r="E36" s="16">
        <v>124944</v>
      </c>
      <c r="F36" s="16">
        <v>109060</v>
      </c>
      <c r="G36" s="16"/>
      <c r="H36" s="16"/>
      <c r="I36" s="16"/>
      <c r="J36" s="16"/>
      <c r="K36" s="16"/>
      <c r="L36" s="16"/>
      <c r="M36" s="16"/>
      <c r="N36" s="16"/>
      <c r="O36" s="16">
        <f t="shared" ref="O36:O39" si="5">SUM(C36:N36)</f>
        <v>439269</v>
      </c>
    </row>
    <row r="37" spans="2:15" x14ac:dyDescent="0.25">
      <c r="B37" s="12" t="s">
        <v>62</v>
      </c>
      <c r="C37" s="16">
        <v>34798</v>
      </c>
      <c r="D37" s="16">
        <v>0</v>
      </c>
      <c r="E37" s="16">
        <v>1775</v>
      </c>
      <c r="F37" s="16">
        <v>0</v>
      </c>
      <c r="G37" s="16"/>
      <c r="H37" s="16"/>
      <c r="I37" s="16"/>
      <c r="J37" s="16"/>
      <c r="K37" s="16"/>
      <c r="L37" s="16"/>
      <c r="M37" s="16"/>
      <c r="N37" s="16"/>
      <c r="O37" s="16">
        <f t="shared" si="5"/>
        <v>36573</v>
      </c>
    </row>
    <row r="38" spans="2:15" x14ac:dyDescent="0.25">
      <c r="B38" s="12" t="s">
        <v>65</v>
      </c>
      <c r="C38" s="16">
        <v>0</v>
      </c>
      <c r="D38" s="16">
        <v>9150</v>
      </c>
      <c r="E38" s="16">
        <v>0</v>
      </c>
      <c r="F38" s="16">
        <v>0</v>
      </c>
      <c r="G38" s="16"/>
      <c r="H38" s="16"/>
      <c r="I38" s="16"/>
      <c r="J38" s="16"/>
      <c r="K38" s="16"/>
      <c r="L38" s="16"/>
      <c r="M38" s="16"/>
      <c r="N38" s="16"/>
      <c r="O38" s="16">
        <f t="shared" si="5"/>
        <v>9150</v>
      </c>
    </row>
    <row r="39" spans="2:15" x14ac:dyDescent="0.25">
      <c r="B39" s="12" t="s">
        <v>63</v>
      </c>
      <c r="C39" s="16">
        <v>27194</v>
      </c>
      <c r="D39" s="16">
        <v>3507</v>
      </c>
      <c r="E39" s="16">
        <v>148930</v>
      </c>
      <c r="F39" s="16">
        <v>7333</v>
      </c>
      <c r="G39" s="16"/>
      <c r="H39" s="16"/>
      <c r="I39" s="16"/>
      <c r="J39" s="16"/>
      <c r="K39" s="16"/>
      <c r="L39" s="16"/>
      <c r="M39" s="16"/>
      <c r="N39" s="16"/>
      <c r="O39" s="16">
        <f t="shared" si="5"/>
        <v>186964</v>
      </c>
    </row>
    <row r="40" spans="2:15" ht="15" x14ac:dyDescent="0.3">
      <c r="B40" s="12" t="s">
        <v>19</v>
      </c>
      <c r="C40" s="58">
        <f t="shared" ref="C40:O40" si="6">SUM(C35:C39)</f>
        <v>691050</v>
      </c>
      <c r="D40" s="58">
        <f t="shared" si="6"/>
        <v>681966</v>
      </c>
      <c r="E40" s="58">
        <f t="shared" si="6"/>
        <v>1061182</v>
      </c>
      <c r="F40" s="58">
        <f t="shared" si="6"/>
        <v>688258</v>
      </c>
      <c r="G40" s="58">
        <f t="shared" si="6"/>
        <v>0</v>
      </c>
      <c r="H40" s="58">
        <f t="shared" si="6"/>
        <v>0</v>
      </c>
      <c r="I40" s="58">
        <f t="shared" si="6"/>
        <v>0</v>
      </c>
      <c r="J40" s="58">
        <f t="shared" si="6"/>
        <v>0</v>
      </c>
      <c r="K40" s="58">
        <f t="shared" si="6"/>
        <v>0</v>
      </c>
      <c r="L40" s="58">
        <f t="shared" si="6"/>
        <v>0</v>
      </c>
      <c r="M40" s="58">
        <f t="shared" si="6"/>
        <v>0</v>
      </c>
      <c r="N40" s="58">
        <f t="shared" si="6"/>
        <v>0</v>
      </c>
      <c r="O40" s="58">
        <f t="shared" si="6"/>
        <v>3122456</v>
      </c>
    </row>
    <row r="41" spans="2:15" ht="15" x14ac:dyDescent="0.3"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</row>
    <row r="42" spans="2:15" x14ac:dyDescent="0.25">
      <c r="C42" s="19"/>
      <c r="J42" s="28"/>
      <c r="O42" s="59"/>
    </row>
    <row r="43" spans="2:15" ht="15" x14ac:dyDescent="0.3">
      <c r="B43" s="12" t="s">
        <v>98</v>
      </c>
      <c r="C43" s="38">
        <v>8765234</v>
      </c>
      <c r="M43" s="28"/>
    </row>
    <row r="44" spans="2:15" x14ac:dyDescent="0.25">
      <c r="B44" s="12" t="s">
        <v>170</v>
      </c>
      <c r="C44" s="20">
        <v>33665</v>
      </c>
      <c r="E44" s="68"/>
      <c r="F44" s="68"/>
      <c r="G44" s="68"/>
      <c r="H44" s="68"/>
      <c r="I44" s="69">
        <v>8254283</v>
      </c>
      <c r="J44" s="68" t="s">
        <v>66</v>
      </c>
      <c r="K44" s="68"/>
    </row>
    <row r="45" spans="2:15" ht="15" x14ac:dyDescent="0.25">
      <c r="B45" s="12"/>
      <c r="C45" s="20"/>
      <c r="E45" s="68"/>
      <c r="F45" s="68"/>
      <c r="G45" s="68"/>
      <c r="H45" s="68"/>
      <c r="I45" s="70" t="e">
        <f>+#REF!/I44</f>
        <v>#REF!</v>
      </c>
      <c r="J45" s="70">
        <v>0.41666666666666669</v>
      </c>
      <c r="K45" s="68"/>
    </row>
    <row r="46" spans="2:15" ht="15" x14ac:dyDescent="0.25">
      <c r="B46" s="12"/>
      <c r="C46" s="20"/>
      <c r="E46" s="68"/>
      <c r="F46" s="71"/>
      <c r="G46" s="68"/>
      <c r="H46" s="68"/>
      <c r="I46" s="72"/>
      <c r="J46" s="73"/>
      <c r="K46" s="68"/>
    </row>
    <row r="47" spans="2:15" ht="15.75" x14ac:dyDescent="0.3">
      <c r="B47" s="12" t="s">
        <v>48</v>
      </c>
      <c r="C47" s="27">
        <f>+C43+C44+C45+C46</f>
        <v>8798899</v>
      </c>
      <c r="D47" s="21"/>
      <c r="E47" s="74">
        <f>+C47-O31</f>
        <v>5676443</v>
      </c>
      <c r="F47" s="68"/>
      <c r="G47" s="68"/>
      <c r="H47" s="68"/>
      <c r="I47" s="72"/>
      <c r="J47" s="72"/>
      <c r="K47" s="68"/>
    </row>
    <row r="48" spans="2:15" ht="24.6" customHeight="1" x14ac:dyDescent="0.25">
      <c r="F48" s="22"/>
      <c r="I48"/>
      <c r="J48"/>
      <c r="K48" s="24"/>
    </row>
  </sheetData>
  <mergeCells count="1">
    <mergeCell ref="B2:C2"/>
  </mergeCells>
  <phoneticPr fontId="3" type="noConversion"/>
  <pageMargins left="0.7" right="0.7" top="0.75" bottom="0.75" header="0.3" footer="0.3"/>
  <pageSetup orientation="portrait" r:id="rId1"/>
  <ignoredErrors>
    <ignoredError sqref="I4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2D2DC-4FB1-47EA-BEE9-A4696DFEFB95}">
  <dimension ref="B4:T51"/>
  <sheetViews>
    <sheetView workbookViewId="0">
      <selection activeCell="F50" sqref="F50"/>
    </sheetView>
  </sheetViews>
  <sheetFormatPr baseColWidth="10" defaultColWidth="10.5703125" defaultRowHeight="13.5" x14ac:dyDescent="0.25"/>
  <cols>
    <col min="1" max="1" width="10.5703125" style="1"/>
    <col min="2" max="2" width="38" style="1" bestFit="1" customWidth="1"/>
    <col min="3" max="16" width="9.85546875" style="1" customWidth="1"/>
    <col min="17" max="16384" width="10.5703125" style="1"/>
  </cols>
  <sheetData>
    <row r="4" spans="2:20" ht="14.25" x14ac:dyDescent="0.25">
      <c r="B4" s="2" t="s">
        <v>47</v>
      </c>
      <c r="C4" s="6">
        <v>2009</v>
      </c>
      <c r="D4" s="6">
        <v>2010</v>
      </c>
      <c r="E4" s="6">
        <v>2011</v>
      </c>
      <c r="F4" s="6">
        <v>2012</v>
      </c>
      <c r="G4" s="6">
        <v>2013</v>
      </c>
      <c r="H4" s="6">
        <v>2014</v>
      </c>
      <c r="I4" s="6">
        <v>2015</v>
      </c>
      <c r="J4" s="6">
        <v>2016</v>
      </c>
      <c r="K4" s="6">
        <v>2017</v>
      </c>
      <c r="L4" s="6">
        <v>2018</v>
      </c>
      <c r="M4" s="6">
        <v>2019</v>
      </c>
      <c r="N4" s="6">
        <v>2020</v>
      </c>
      <c r="O4" s="6">
        <v>2021</v>
      </c>
      <c r="P4" s="6">
        <v>2022</v>
      </c>
      <c r="Q4" s="6">
        <v>2023</v>
      </c>
      <c r="R4" s="6">
        <v>2024</v>
      </c>
      <c r="S4" s="6">
        <v>2025</v>
      </c>
      <c r="T4" s="6">
        <v>2026</v>
      </c>
    </row>
    <row r="5" spans="2:20" ht="15" customHeight="1" x14ac:dyDescent="0.25">
      <c r="B5" s="2" t="s">
        <v>32</v>
      </c>
      <c r="C5" s="3">
        <v>1733465</v>
      </c>
      <c r="D5" s="3">
        <v>2783210</v>
      </c>
      <c r="E5" s="3">
        <v>3250968</v>
      </c>
      <c r="F5" s="3">
        <v>3496019</v>
      </c>
      <c r="G5" s="3">
        <v>4452621</v>
      </c>
      <c r="H5" s="3">
        <v>4606752</v>
      </c>
      <c r="I5" s="3">
        <v>5359186</v>
      </c>
      <c r="J5" s="3">
        <v>5887514</v>
      </c>
      <c r="K5" s="3">
        <v>6374664</v>
      </c>
      <c r="L5" s="3">
        <v>6614337</v>
      </c>
      <c r="M5" s="3">
        <v>7009718</v>
      </c>
      <c r="N5" s="3">
        <v>7402521</v>
      </c>
      <c r="O5" s="3">
        <v>6781495</v>
      </c>
      <c r="P5" s="3">
        <v>7079881</v>
      </c>
      <c r="Q5" s="3">
        <v>7713078</v>
      </c>
      <c r="R5" s="3">
        <v>8133235</v>
      </c>
      <c r="S5" s="3">
        <v>8585478</v>
      </c>
      <c r="T5" s="3">
        <f>+Reporte!C43</f>
        <v>8765234</v>
      </c>
    </row>
    <row r="6" spans="2:20" ht="15" customHeight="1" x14ac:dyDescent="0.25">
      <c r="B6" s="2" t="s">
        <v>33</v>
      </c>
      <c r="C6" s="3">
        <v>309441</v>
      </c>
      <c r="D6" s="3">
        <v>209162</v>
      </c>
      <c r="E6" s="3">
        <v>449264</v>
      </c>
      <c r="F6" s="3">
        <v>364571</v>
      </c>
      <c r="G6" s="3">
        <v>715407</v>
      </c>
      <c r="H6" s="3">
        <v>433379</v>
      </c>
      <c r="I6" s="3">
        <v>309791</v>
      </c>
      <c r="J6" s="3">
        <v>267114</v>
      </c>
      <c r="K6" s="3">
        <v>180349</v>
      </c>
      <c r="L6" s="3">
        <v>231703</v>
      </c>
      <c r="M6" s="3">
        <v>216029</v>
      </c>
      <c r="N6" s="3">
        <v>0</v>
      </c>
      <c r="O6" s="3">
        <v>236812</v>
      </c>
      <c r="P6" s="3">
        <v>285770</v>
      </c>
      <c r="Q6" s="3">
        <f>36174+82418+65000</f>
        <v>183592</v>
      </c>
      <c r="R6" s="3">
        <f>121048+71549</f>
        <v>192597</v>
      </c>
      <c r="S6" s="3">
        <v>-43906</v>
      </c>
      <c r="T6" s="3">
        <f>+Reporte!C44+Reporte!C45+Reporte!C46</f>
        <v>33665</v>
      </c>
    </row>
    <row r="7" spans="2:20" ht="15" customHeight="1" x14ac:dyDescent="0.25">
      <c r="B7" s="2" t="s">
        <v>34</v>
      </c>
      <c r="C7" s="7">
        <f>SUM(C5:C6)</f>
        <v>2042906</v>
      </c>
      <c r="D7" s="7">
        <f t="shared" ref="D7:O7" si="0">SUM(D5:D6)</f>
        <v>2992372</v>
      </c>
      <c r="E7" s="7">
        <f t="shared" si="0"/>
        <v>3700232</v>
      </c>
      <c r="F7" s="7">
        <f t="shared" si="0"/>
        <v>3860590</v>
      </c>
      <c r="G7" s="7">
        <f t="shared" si="0"/>
        <v>5168028</v>
      </c>
      <c r="H7" s="7">
        <f t="shared" si="0"/>
        <v>5040131</v>
      </c>
      <c r="I7" s="7">
        <f t="shared" si="0"/>
        <v>5668977</v>
      </c>
      <c r="J7" s="7">
        <f t="shared" si="0"/>
        <v>6154628</v>
      </c>
      <c r="K7" s="7">
        <f t="shared" si="0"/>
        <v>6555013</v>
      </c>
      <c r="L7" s="7">
        <f t="shared" si="0"/>
        <v>6846040</v>
      </c>
      <c r="M7" s="7">
        <f t="shared" si="0"/>
        <v>7225747</v>
      </c>
      <c r="N7" s="7">
        <f t="shared" si="0"/>
        <v>7402521</v>
      </c>
      <c r="O7" s="7">
        <f t="shared" si="0"/>
        <v>7018307</v>
      </c>
      <c r="P7" s="7">
        <f>SUM(P5:P6)</f>
        <v>7365651</v>
      </c>
      <c r="Q7" s="3">
        <f>SUM(Q5:Q6)</f>
        <v>7896670</v>
      </c>
      <c r="R7" s="3">
        <f>SUM(R5:R6)</f>
        <v>8325832</v>
      </c>
      <c r="S7" s="3">
        <f>SUM(S5:S6)</f>
        <v>8541572</v>
      </c>
      <c r="T7" s="3">
        <f>SUM(T5:T6)</f>
        <v>8798899</v>
      </c>
    </row>
    <row r="8" spans="2:20" ht="15" customHeight="1" x14ac:dyDescent="0.25">
      <c r="B8" s="2" t="s">
        <v>35</v>
      </c>
      <c r="C8" s="3">
        <v>2041494.2990000001</v>
      </c>
      <c r="D8" s="3">
        <v>2991446.9189999998</v>
      </c>
      <c r="E8" s="3">
        <v>3654758.64</v>
      </c>
      <c r="F8" s="3">
        <v>3825343</v>
      </c>
      <c r="G8" s="3">
        <v>5130336</v>
      </c>
      <c r="H8" s="3">
        <v>5020917</v>
      </c>
      <c r="I8" s="3">
        <v>5604211</v>
      </c>
      <c r="J8" s="3">
        <v>6105912</v>
      </c>
      <c r="K8" s="3">
        <v>6478883</v>
      </c>
      <c r="L8" s="3">
        <v>6764567</v>
      </c>
      <c r="M8" s="3">
        <v>7172308.8600000003</v>
      </c>
      <c r="N8" s="3">
        <v>7271632.608</v>
      </c>
      <c r="O8" s="3">
        <v>7017561</v>
      </c>
      <c r="P8" s="3">
        <f>(MAX(C28:N28))</f>
        <v>7364890</v>
      </c>
      <c r="Q8" s="3">
        <f>MAX(C34:N34)</f>
        <v>7896647.5999999996</v>
      </c>
      <c r="R8" s="3">
        <f>MAX(C40:N40)</f>
        <v>8325820</v>
      </c>
      <c r="S8" s="3">
        <f>MAX($C$45:$N$45)</f>
        <v>8541438</v>
      </c>
      <c r="T8" s="3">
        <f>MAX($C$50:$N$50)</f>
        <v>3122456</v>
      </c>
    </row>
    <row r="9" spans="2:20" ht="15" customHeight="1" x14ac:dyDescent="0.25">
      <c r="B9" s="2" t="s">
        <v>36</v>
      </c>
      <c r="C9" s="4">
        <f>+C8/C7</f>
        <v>0.99930897407908148</v>
      </c>
      <c r="D9" s="4">
        <f t="shared" ref="D9:M9" si="1">+D8/D7</f>
        <v>0.99969085361044674</v>
      </c>
      <c r="E9" s="4">
        <f t="shared" si="1"/>
        <v>0.9877106732767027</v>
      </c>
      <c r="F9" s="4">
        <f t="shared" si="1"/>
        <v>0.99087004836048376</v>
      </c>
      <c r="G9" s="4">
        <f t="shared" si="1"/>
        <v>0.99270669586155491</v>
      </c>
      <c r="H9" s="4">
        <f t="shared" si="1"/>
        <v>0.99618779749970787</v>
      </c>
      <c r="I9" s="4">
        <f t="shared" si="1"/>
        <v>0.98857536377374611</v>
      </c>
      <c r="J9" s="4">
        <f t="shared" si="1"/>
        <v>0.99208465564450032</v>
      </c>
      <c r="K9" s="4">
        <f t="shared" si="1"/>
        <v>0.98838598794540911</v>
      </c>
      <c r="L9" s="4">
        <f t="shared" si="1"/>
        <v>0.98809925153811551</v>
      </c>
      <c r="M9" s="4">
        <f t="shared" si="1"/>
        <v>0.99260448227705733</v>
      </c>
      <c r="N9" s="4">
        <f>+N8/N7</f>
        <v>0.98231840314941354</v>
      </c>
      <c r="O9" s="4">
        <f t="shared" ref="O9:T9" si="2">O8/O7</f>
        <v>0.999893706559146</v>
      </c>
      <c r="P9" s="4">
        <f t="shared" si="2"/>
        <v>0.99989668258786635</v>
      </c>
      <c r="Q9" s="4">
        <f t="shared" si="2"/>
        <v>0.99999716336126487</v>
      </c>
      <c r="R9" s="4">
        <f t="shared" si="2"/>
        <v>0.99999855870260168</v>
      </c>
      <c r="S9" s="4">
        <f t="shared" si="2"/>
        <v>0.99998431202125326</v>
      </c>
      <c r="T9" s="4">
        <f t="shared" si="2"/>
        <v>0.35486894439861166</v>
      </c>
    </row>
    <row r="11" spans="2:20" hidden="1" x14ac:dyDescent="0.25"/>
    <row r="12" spans="2:20" hidden="1" x14ac:dyDescent="0.25"/>
    <row r="13" spans="2:20" ht="28.5" hidden="1" x14ac:dyDescent="0.25">
      <c r="B13" s="6">
        <v>2020</v>
      </c>
      <c r="C13" s="2" t="s">
        <v>24</v>
      </c>
      <c r="D13" s="2" t="s">
        <v>25</v>
      </c>
      <c r="E13" s="2" t="s">
        <v>28</v>
      </c>
      <c r="F13" s="2" t="s">
        <v>29</v>
      </c>
      <c r="G13" s="2" t="s">
        <v>30</v>
      </c>
      <c r="H13" s="2" t="s">
        <v>31</v>
      </c>
      <c r="I13" s="2" t="s">
        <v>37</v>
      </c>
      <c r="J13" s="2" t="s">
        <v>38</v>
      </c>
      <c r="K13" s="2" t="s">
        <v>39</v>
      </c>
      <c r="L13" s="2" t="s">
        <v>40</v>
      </c>
      <c r="M13" s="2" t="s">
        <v>41</v>
      </c>
      <c r="N13" s="2" t="s">
        <v>42</v>
      </c>
    </row>
    <row r="14" spans="2:20" ht="14.25" hidden="1" x14ac:dyDescent="0.25">
      <c r="B14" s="2" t="s">
        <v>43</v>
      </c>
      <c r="C14" s="3">
        <v>566586.02300000004</v>
      </c>
      <c r="D14" s="3">
        <v>489827.82199999999</v>
      </c>
      <c r="E14" s="3">
        <v>652175.32799999998</v>
      </c>
      <c r="F14" s="3">
        <v>544623.16500000004</v>
      </c>
      <c r="G14" s="3">
        <v>575664.22</v>
      </c>
      <c r="H14" s="3">
        <v>589136.11199999996</v>
      </c>
      <c r="I14" s="3">
        <v>530939.15700000001</v>
      </c>
      <c r="J14" s="3">
        <v>510910.408</v>
      </c>
      <c r="K14" s="3">
        <v>646101.60100000002</v>
      </c>
      <c r="L14" s="3">
        <v>568122.48400000005</v>
      </c>
      <c r="M14" s="3">
        <v>587323.27800000005</v>
      </c>
      <c r="N14" s="3">
        <v>1010223.01</v>
      </c>
    </row>
    <row r="15" spans="2:20" ht="14.25" hidden="1" x14ac:dyDescent="0.25">
      <c r="B15" s="2" t="s">
        <v>44</v>
      </c>
      <c r="C15" s="3">
        <f>+C14</f>
        <v>566586.02300000004</v>
      </c>
      <c r="D15" s="3">
        <f>+D14+C15</f>
        <v>1056413.845</v>
      </c>
      <c r="E15" s="3">
        <f t="shared" ref="E15:N15" si="3">+E14+D15</f>
        <v>1708589.173</v>
      </c>
      <c r="F15" s="3">
        <f t="shared" si="3"/>
        <v>2253212.338</v>
      </c>
      <c r="G15" s="3">
        <f t="shared" si="3"/>
        <v>2828876.5580000002</v>
      </c>
      <c r="H15" s="3">
        <f t="shared" si="3"/>
        <v>3418012.67</v>
      </c>
      <c r="I15" s="3">
        <f t="shared" si="3"/>
        <v>3948951.827</v>
      </c>
      <c r="J15" s="3">
        <f t="shared" si="3"/>
        <v>4459862.2350000003</v>
      </c>
      <c r="K15" s="3">
        <f t="shared" si="3"/>
        <v>5105963.8360000001</v>
      </c>
      <c r="L15" s="3">
        <f t="shared" si="3"/>
        <v>5674086.3200000003</v>
      </c>
      <c r="M15" s="3">
        <f t="shared" si="3"/>
        <v>6261409.5980000002</v>
      </c>
      <c r="N15" s="3">
        <f t="shared" si="3"/>
        <v>7271632.608</v>
      </c>
    </row>
    <row r="16" spans="2:20" ht="14.25" hidden="1" x14ac:dyDescent="0.25">
      <c r="B16" s="2" t="s">
        <v>45</v>
      </c>
      <c r="C16" s="5">
        <f>+C15/$N$7</f>
        <v>7.6539603602610529E-2</v>
      </c>
      <c r="D16" s="5">
        <f t="shared" ref="D16:N16" si="4">+D15/$N$7</f>
        <v>0.14271000987366331</v>
      </c>
      <c r="E16" s="5">
        <f t="shared" si="4"/>
        <v>0.23081179681894856</v>
      </c>
      <c r="F16" s="5">
        <f t="shared" si="4"/>
        <v>0.30438445740309283</v>
      </c>
      <c r="G16" s="5">
        <f t="shared" si="4"/>
        <v>0.38215042659115728</v>
      </c>
      <c r="H16" s="5">
        <f t="shared" si="4"/>
        <v>0.46173630172747904</v>
      </c>
      <c r="I16" s="5">
        <f t="shared" si="4"/>
        <v>0.533460401800954</v>
      </c>
      <c r="J16" s="5">
        <f t="shared" si="4"/>
        <v>0.60247883592630136</v>
      </c>
      <c r="K16" s="5">
        <f t="shared" si="4"/>
        <v>0.68976012847515056</v>
      </c>
      <c r="L16" s="5">
        <f t="shared" si="4"/>
        <v>0.76650729123227079</v>
      </c>
      <c r="M16" s="5">
        <f t="shared" si="4"/>
        <v>0.84584827223050096</v>
      </c>
      <c r="N16" s="5">
        <f t="shared" si="4"/>
        <v>0.98231840314941354</v>
      </c>
    </row>
    <row r="17" spans="2:14" hidden="1" x14ac:dyDescent="0.25">
      <c r="B17" s="75"/>
    </row>
    <row r="18" spans="2:14" hidden="1" x14ac:dyDescent="0.25"/>
    <row r="20" spans="2:14" ht="28.5" hidden="1" x14ac:dyDescent="0.25">
      <c r="B20" s="6">
        <v>2021</v>
      </c>
      <c r="C20" s="2" t="s">
        <v>24</v>
      </c>
      <c r="D20" s="2" t="s">
        <v>25</v>
      </c>
      <c r="E20" s="2" t="s">
        <v>28</v>
      </c>
      <c r="F20" s="2" t="s">
        <v>29</v>
      </c>
      <c r="G20" s="2" t="s">
        <v>30</v>
      </c>
      <c r="H20" s="2" t="s">
        <v>31</v>
      </c>
      <c r="I20" s="2" t="s">
        <v>37</v>
      </c>
      <c r="J20" s="2" t="s">
        <v>38</v>
      </c>
      <c r="K20" s="2" t="s">
        <v>39</v>
      </c>
      <c r="L20" s="2" t="s">
        <v>49</v>
      </c>
      <c r="M20" s="2" t="s">
        <v>41</v>
      </c>
      <c r="N20" s="2" t="s">
        <v>42</v>
      </c>
    </row>
    <row r="21" spans="2:14" ht="14.25" hidden="1" x14ac:dyDescent="0.25">
      <c r="B21" s="2" t="s">
        <v>46</v>
      </c>
      <c r="C21" s="3">
        <v>489366</v>
      </c>
      <c r="D21" s="3">
        <v>550815</v>
      </c>
      <c r="E21" s="3">
        <v>657444</v>
      </c>
      <c r="F21" s="3">
        <v>688402</v>
      </c>
      <c r="G21" s="3">
        <v>540628.56000000006</v>
      </c>
      <c r="H21" s="3">
        <v>565382.67200000002</v>
      </c>
      <c r="I21" s="3">
        <v>568187</v>
      </c>
      <c r="J21" s="3">
        <v>550699</v>
      </c>
      <c r="K21" s="3">
        <v>600560</v>
      </c>
      <c r="L21" s="3">
        <v>554141</v>
      </c>
      <c r="M21" s="3">
        <v>546223</v>
      </c>
      <c r="N21" s="3">
        <v>705713</v>
      </c>
    </row>
    <row r="22" spans="2:14" ht="14.25" hidden="1" x14ac:dyDescent="0.25">
      <c r="B22" s="2" t="s">
        <v>44</v>
      </c>
      <c r="C22" s="26">
        <f>+C21</f>
        <v>489366</v>
      </c>
      <c r="D22" s="26">
        <f>+D21+C22</f>
        <v>1040181</v>
      </c>
      <c r="E22" s="26">
        <f t="shared" ref="E22:H22" si="5">+E21+D22</f>
        <v>1697625</v>
      </c>
      <c r="F22" s="26">
        <f t="shared" si="5"/>
        <v>2386027</v>
      </c>
      <c r="G22" s="26">
        <f t="shared" si="5"/>
        <v>2926655.56</v>
      </c>
      <c r="H22" s="26">
        <f t="shared" si="5"/>
        <v>3492038.2319999998</v>
      </c>
      <c r="I22" s="26">
        <f t="shared" ref="I22:N22" si="6">+I21+H22</f>
        <v>4060225.2319999998</v>
      </c>
      <c r="J22" s="26">
        <f t="shared" si="6"/>
        <v>4610924.2319999998</v>
      </c>
      <c r="K22" s="26">
        <f t="shared" si="6"/>
        <v>5211484.2319999998</v>
      </c>
      <c r="L22" s="26">
        <f t="shared" si="6"/>
        <v>5765625.2319999998</v>
      </c>
      <c r="M22" s="26">
        <f t="shared" si="6"/>
        <v>6311848.2319999998</v>
      </c>
      <c r="N22" s="26">
        <f t="shared" si="6"/>
        <v>7017561.2319999998</v>
      </c>
    </row>
    <row r="23" spans="2:14" ht="14.25" hidden="1" x14ac:dyDescent="0.25">
      <c r="B23" s="2" t="s">
        <v>45</v>
      </c>
      <c r="C23" s="5">
        <f>+C22/$O$7</f>
        <v>6.9727072355199052E-2</v>
      </c>
      <c r="D23" s="5">
        <f t="shared" ref="D23:G23" si="7">+D22/$O$7</f>
        <v>0.1482096750683605</v>
      </c>
      <c r="E23" s="5">
        <f t="shared" si="7"/>
        <v>0.24188525808289663</v>
      </c>
      <c r="F23" s="5">
        <f t="shared" si="7"/>
        <v>0.33997187640837029</v>
      </c>
      <c r="G23" s="5">
        <f t="shared" si="7"/>
        <v>0.41700306925872577</v>
      </c>
      <c r="H23" s="5">
        <f t="shared" ref="H23:M23" si="8">+H22/$O$7</f>
        <v>0.49756133950823178</v>
      </c>
      <c r="I23" s="5">
        <f t="shared" si="8"/>
        <v>0.57851918304514183</v>
      </c>
      <c r="J23" s="5">
        <f t="shared" si="8"/>
        <v>0.65698525755570392</v>
      </c>
      <c r="K23" s="5">
        <f t="shared" si="8"/>
        <v>0.74255575197836166</v>
      </c>
      <c r="L23" s="5">
        <f t="shared" si="8"/>
        <v>0.82151225815570617</v>
      </c>
      <c r="M23" s="5">
        <f t="shared" si="8"/>
        <v>0.89934057202114415</v>
      </c>
      <c r="N23" s="5">
        <f t="shared" ref="N23" si="9">+N22/$O$7</f>
        <v>0.99989373961555117</v>
      </c>
    </row>
    <row r="24" spans="2:14" hidden="1" x14ac:dyDescent="0.25"/>
    <row r="25" spans="2:14" hidden="1" x14ac:dyDescent="0.25"/>
    <row r="26" spans="2:14" ht="28.5" hidden="1" x14ac:dyDescent="0.25">
      <c r="B26" s="6">
        <v>2022</v>
      </c>
      <c r="C26" s="2" t="s">
        <v>24</v>
      </c>
      <c r="D26" s="2" t="s">
        <v>25</v>
      </c>
      <c r="E26" s="2" t="s">
        <v>28</v>
      </c>
      <c r="F26" s="2" t="s">
        <v>29</v>
      </c>
      <c r="G26" s="2" t="s">
        <v>30</v>
      </c>
      <c r="H26" s="2" t="s">
        <v>31</v>
      </c>
      <c r="I26" s="2" t="s">
        <v>37</v>
      </c>
      <c r="J26" s="2" t="s">
        <v>38</v>
      </c>
      <c r="K26" s="2" t="s">
        <v>39</v>
      </c>
      <c r="L26" s="2" t="s">
        <v>49</v>
      </c>
      <c r="M26" s="2" t="s">
        <v>41</v>
      </c>
      <c r="N26" s="2" t="s">
        <v>42</v>
      </c>
    </row>
    <row r="27" spans="2:14" ht="14.25" hidden="1" x14ac:dyDescent="0.25">
      <c r="B27" s="2" t="s">
        <v>46</v>
      </c>
      <c r="C27" s="3">
        <v>543935</v>
      </c>
      <c r="D27" s="3">
        <v>641993</v>
      </c>
      <c r="E27" s="3">
        <v>885481</v>
      </c>
      <c r="F27" s="3">
        <v>533801</v>
      </c>
      <c r="G27" s="3">
        <v>570468</v>
      </c>
      <c r="H27" s="3">
        <v>655466</v>
      </c>
      <c r="I27" s="3">
        <v>604829</v>
      </c>
      <c r="J27" s="3">
        <v>536046</v>
      </c>
      <c r="K27" s="3">
        <v>591148</v>
      </c>
      <c r="L27" s="3">
        <v>529202</v>
      </c>
      <c r="M27" s="3">
        <v>551393</v>
      </c>
      <c r="N27" s="3">
        <v>721128</v>
      </c>
    </row>
    <row r="28" spans="2:14" ht="14.25" hidden="1" x14ac:dyDescent="0.25">
      <c r="B28" s="2" t="s">
        <v>44</v>
      </c>
      <c r="C28" s="26">
        <f>+C27</f>
        <v>543935</v>
      </c>
      <c r="D28" s="26">
        <f t="shared" ref="D28:M28" si="10">+D27+C28</f>
        <v>1185928</v>
      </c>
      <c r="E28" s="26">
        <f t="shared" si="10"/>
        <v>2071409</v>
      </c>
      <c r="F28" s="26">
        <f t="shared" si="10"/>
        <v>2605210</v>
      </c>
      <c r="G28" s="26">
        <f t="shared" si="10"/>
        <v>3175678</v>
      </c>
      <c r="H28" s="26">
        <f t="shared" si="10"/>
        <v>3831144</v>
      </c>
      <c r="I28" s="26">
        <f t="shared" si="10"/>
        <v>4435973</v>
      </c>
      <c r="J28" s="26">
        <f t="shared" si="10"/>
        <v>4972019</v>
      </c>
      <c r="K28" s="26">
        <f t="shared" si="10"/>
        <v>5563167</v>
      </c>
      <c r="L28" s="26">
        <f t="shared" si="10"/>
        <v>6092369</v>
      </c>
      <c r="M28" s="26">
        <f t="shared" si="10"/>
        <v>6643762</v>
      </c>
      <c r="N28" s="26">
        <f>+N27+M28</f>
        <v>7364890</v>
      </c>
    </row>
    <row r="29" spans="2:14" ht="14.25" hidden="1" x14ac:dyDescent="0.25">
      <c r="B29" s="2" t="s">
        <v>45</v>
      </c>
      <c r="C29" s="5">
        <f>+C28/$P$7</f>
        <v>7.3847511917140798E-2</v>
      </c>
      <c r="D29" s="5">
        <f t="shared" ref="D29:N29" si="11">+D28/$P$7</f>
        <v>0.16100790004848181</v>
      </c>
      <c r="E29" s="5">
        <f t="shared" si="11"/>
        <v>0.28122551557221487</v>
      </c>
      <c r="F29" s="5">
        <f t="shared" si="11"/>
        <v>0.35369718168835312</v>
      </c>
      <c r="G29" s="5">
        <f t="shared" si="11"/>
        <v>0.43114695496704908</v>
      </c>
      <c r="H29" s="5">
        <f t="shared" si="11"/>
        <v>0.52013650931872824</v>
      </c>
      <c r="I29" s="5">
        <f t="shared" si="11"/>
        <v>0.6022513149211115</v>
      </c>
      <c r="J29" s="5">
        <f t="shared" si="11"/>
        <v>0.67502777419131044</v>
      </c>
      <c r="K29" s="5">
        <f t="shared" si="11"/>
        <v>0.75528517438580789</v>
      </c>
      <c r="L29" s="5">
        <f t="shared" si="11"/>
        <v>0.8271324557734272</v>
      </c>
      <c r="M29" s="5">
        <f t="shared" si="11"/>
        <v>0.90199250548254317</v>
      </c>
      <c r="N29" s="5">
        <f t="shared" si="11"/>
        <v>0.99989668258786635</v>
      </c>
    </row>
    <row r="30" spans="2:14" hidden="1" x14ac:dyDescent="0.25"/>
    <row r="31" spans="2:14" hidden="1" x14ac:dyDescent="0.25"/>
    <row r="32" spans="2:14" ht="28.5" hidden="1" x14ac:dyDescent="0.25">
      <c r="B32" s="6">
        <v>2023</v>
      </c>
      <c r="C32" s="2" t="s">
        <v>24</v>
      </c>
      <c r="D32" s="2" t="s">
        <v>25</v>
      </c>
      <c r="E32" s="2" t="s">
        <v>28</v>
      </c>
      <c r="F32" s="2" t="s">
        <v>29</v>
      </c>
      <c r="G32" s="2" t="s">
        <v>30</v>
      </c>
      <c r="H32" s="2" t="s">
        <v>31</v>
      </c>
      <c r="I32" s="2" t="s">
        <v>37</v>
      </c>
      <c r="J32" s="2" t="s">
        <v>38</v>
      </c>
      <c r="K32" s="2" t="s">
        <v>39</v>
      </c>
      <c r="L32" s="2" t="s">
        <v>49</v>
      </c>
      <c r="M32" s="2" t="s">
        <v>41</v>
      </c>
      <c r="N32" s="2" t="s">
        <v>42</v>
      </c>
    </row>
    <row r="33" spans="2:14" ht="14.25" hidden="1" x14ac:dyDescent="0.25">
      <c r="B33" s="2" t="s">
        <v>46</v>
      </c>
      <c r="C33" s="3">
        <f>588356+36174</f>
        <v>624530</v>
      </c>
      <c r="D33" s="3">
        <v>577811</v>
      </c>
      <c r="E33" s="7">
        <v>861046</v>
      </c>
      <c r="F33" s="3">
        <v>652187</v>
      </c>
      <c r="G33" s="3">
        <v>648536.4</v>
      </c>
      <c r="H33" s="3">
        <v>627436</v>
      </c>
      <c r="I33" s="3">
        <v>565222.19999999995</v>
      </c>
      <c r="J33" s="3">
        <v>585319</v>
      </c>
      <c r="K33" s="3">
        <v>644939</v>
      </c>
      <c r="L33" s="3">
        <v>662820</v>
      </c>
      <c r="M33" s="3">
        <v>673087</v>
      </c>
      <c r="N33" s="3">
        <v>773714</v>
      </c>
    </row>
    <row r="34" spans="2:14" ht="14.25" hidden="1" x14ac:dyDescent="0.25">
      <c r="B34" s="2" t="s">
        <v>44</v>
      </c>
      <c r="C34" s="26">
        <f>+C33</f>
        <v>624530</v>
      </c>
      <c r="D34" s="26">
        <f t="shared" ref="D34:N34" si="12">+D33+C34</f>
        <v>1202341</v>
      </c>
      <c r="E34" s="26">
        <f t="shared" si="12"/>
        <v>2063387</v>
      </c>
      <c r="F34" s="26">
        <f t="shared" si="12"/>
        <v>2715574</v>
      </c>
      <c r="G34" s="26">
        <f t="shared" si="12"/>
        <v>3364110.4</v>
      </c>
      <c r="H34" s="26">
        <f t="shared" si="12"/>
        <v>3991546.4</v>
      </c>
      <c r="I34" s="26">
        <f t="shared" si="12"/>
        <v>4556768.5999999996</v>
      </c>
      <c r="J34" s="26">
        <f t="shared" si="12"/>
        <v>5142087.5999999996</v>
      </c>
      <c r="K34" s="26">
        <f t="shared" si="12"/>
        <v>5787026.5999999996</v>
      </c>
      <c r="L34" s="26">
        <f t="shared" si="12"/>
        <v>6449846.5999999996</v>
      </c>
      <c r="M34" s="26">
        <f t="shared" si="12"/>
        <v>7122933.5999999996</v>
      </c>
      <c r="N34" s="26">
        <f t="shared" si="12"/>
        <v>7896647.5999999996</v>
      </c>
    </row>
    <row r="35" spans="2:14" ht="14.25" hidden="1" x14ac:dyDescent="0.25">
      <c r="B35" s="2" t="s">
        <v>45</v>
      </c>
      <c r="C35" s="5">
        <f>+C34/$Q$7</f>
        <v>7.9087767375362023E-2</v>
      </c>
      <c r="D35" s="5">
        <f t="shared" ref="D35:M35" si="13">+D34/$Q$7</f>
        <v>0.15225924345325309</v>
      </c>
      <c r="E35" s="5">
        <f t="shared" si="13"/>
        <v>0.26129837007244827</v>
      </c>
      <c r="F35" s="5">
        <f t="shared" si="13"/>
        <v>0.34388849983600683</v>
      </c>
      <c r="G35" s="5">
        <f t="shared" si="13"/>
        <v>0.42601633346714501</v>
      </c>
      <c r="H35" s="5">
        <f t="shared" si="13"/>
        <v>0.50547210406411813</v>
      </c>
      <c r="I35" s="5">
        <f t="shared" si="13"/>
        <v>0.57704938917290449</v>
      </c>
      <c r="J35" s="5">
        <f t="shared" si="13"/>
        <v>0.65117164576967246</v>
      </c>
      <c r="K35" s="5">
        <f t="shared" si="13"/>
        <v>0.73284392028538603</v>
      </c>
      <c r="L35" s="5">
        <f t="shared" si="13"/>
        <v>0.81678056699849422</v>
      </c>
      <c r="M35" s="5">
        <f t="shared" si="13"/>
        <v>0.90201738201039172</v>
      </c>
      <c r="N35" s="5">
        <f>+N34/$Q$7</f>
        <v>0.99999716336126487</v>
      </c>
    </row>
    <row r="38" spans="2:14" ht="28.5" x14ac:dyDescent="0.25">
      <c r="B38" s="6">
        <v>2024</v>
      </c>
      <c r="C38" s="2" t="s">
        <v>24</v>
      </c>
      <c r="D38" s="2" t="s">
        <v>25</v>
      </c>
      <c r="E38" s="2" t="s">
        <v>28</v>
      </c>
      <c r="F38" s="2" t="s">
        <v>29</v>
      </c>
      <c r="G38" s="2" t="s">
        <v>30</v>
      </c>
      <c r="H38" s="2" t="s">
        <v>31</v>
      </c>
      <c r="I38" s="2" t="s">
        <v>37</v>
      </c>
      <c r="J38" s="2" t="s">
        <v>38</v>
      </c>
      <c r="K38" s="2" t="s">
        <v>39</v>
      </c>
      <c r="L38" s="2" t="s">
        <v>49</v>
      </c>
      <c r="M38" s="2" t="s">
        <v>41</v>
      </c>
      <c r="N38" s="2" t="s">
        <v>42</v>
      </c>
    </row>
    <row r="39" spans="2:14" ht="14.25" x14ac:dyDescent="0.25">
      <c r="B39" s="2" t="s">
        <v>46</v>
      </c>
      <c r="C39" s="3">
        <v>601830</v>
      </c>
      <c r="D39" s="3">
        <v>668091</v>
      </c>
      <c r="E39" s="7">
        <v>924883</v>
      </c>
      <c r="F39" s="3">
        <v>692684</v>
      </c>
      <c r="G39" s="3">
        <v>667927</v>
      </c>
      <c r="H39" s="3">
        <v>652729</v>
      </c>
      <c r="I39" s="3">
        <v>669573</v>
      </c>
      <c r="J39" s="3">
        <v>680461</v>
      </c>
      <c r="K39" s="3">
        <v>684551</v>
      </c>
      <c r="L39" s="3">
        <v>655911</v>
      </c>
      <c r="M39" s="3">
        <v>640472</v>
      </c>
      <c r="N39" s="3">
        <v>786708</v>
      </c>
    </row>
    <row r="40" spans="2:14" ht="14.25" x14ac:dyDescent="0.25">
      <c r="B40" s="2" t="s">
        <v>44</v>
      </c>
      <c r="C40" s="26">
        <f>+C39</f>
        <v>601830</v>
      </c>
      <c r="D40" s="26">
        <f>+D39+C40</f>
        <v>1269921</v>
      </c>
      <c r="E40" s="26">
        <f t="shared" ref="E40:N40" si="14">+E39+D40</f>
        <v>2194804</v>
      </c>
      <c r="F40" s="26">
        <f t="shared" si="14"/>
        <v>2887488</v>
      </c>
      <c r="G40" s="26">
        <f t="shared" si="14"/>
        <v>3555415</v>
      </c>
      <c r="H40" s="26">
        <f t="shared" si="14"/>
        <v>4208144</v>
      </c>
      <c r="I40" s="26">
        <f t="shared" si="14"/>
        <v>4877717</v>
      </c>
      <c r="J40" s="26">
        <f t="shared" si="14"/>
        <v>5558178</v>
      </c>
      <c r="K40" s="26">
        <f t="shared" si="14"/>
        <v>6242729</v>
      </c>
      <c r="L40" s="26">
        <f t="shared" si="14"/>
        <v>6898640</v>
      </c>
      <c r="M40" s="26">
        <f t="shared" si="14"/>
        <v>7539112</v>
      </c>
      <c r="N40" s="26">
        <f t="shared" si="14"/>
        <v>8325820</v>
      </c>
    </row>
    <row r="41" spans="2:14" ht="14.25" x14ac:dyDescent="0.25">
      <c r="B41" s="2" t="s">
        <v>45</v>
      </c>
      <c r="C41" s="5">
        <f>+C40/$R$7</f>
        <v>7.228466776653672E-2</v>
      </c>
      <c r="D41" s="5">
        <f t="shared" ref="D41:N41" si="15">+D40/$R$7</f>
        <v>0.15252781944194888</v>
      </c>
      <c r="E41" s="5">
        <f t="shared" si="15"/>
        <v>0.2636137745753217</v>
      </c>
      <c r="F41" s="5">
        <f t="shared" si="15"/>
        <v>0.34681074516036353</v>
      </c>
      <c r="G41" s="5">
        <f t="shared" si="15"/>
        <v>0.42703419910466606</v>
      </c>
      <c r="H41" s="5">
        <f t="shared" si="15"/>
        <v>0.50543224989406466</v>
      </c>
      <c r="I41" s="5">
        <f t="shared" si="15"/>
        <v>0.58585340179816259</v>
      </c>
      <c r="J41" s="5">
        <f t="shared" si="15"/>
        <v>0.66758229087495402</v>
      </c>
      <c r="K41" s="5">
        <f t="shared" si="15"/>
        <v>0.74980242214832105</v>
      </c>
      <c r="L41" s="5">
        <f t="shared" si="15"/>
        <v>0.82858265696449318</v>
      </c>
      <c r="M41" s="5">
        <f t="shared" si="15"/>
        <v>0.9055085425696795</v>
      </c>
      <c r="N41" s="5">
        <f t="shared" si="15"/>
        <v>0.99999855870260168</v>
      </c>
    </row>
    <row r="43" spans="2:14" ht="28.5" x14ac:dyDescent="0.25">
      <c r="B43" s="6">
        <v>2025</v>
      </c>
      <c r="C43" s="2" t="s">
        <v>24</v>
      </c>
      <c r="D43" s="2" t="s">
        <v>25</v>
      </c>
      <c r="E43" s="2" t="s">
        <v>28</v>
      </c>
      <c r="F43" s="2" t="s">
        <v>29</v>
      </c>
      <c r="G43" s="2" t="s">
        <v>30</v>
      </c>
      <c r="H43" s="2" t="s">
        <v>31</v>
      </c>
      <c r="I43" s="2" t="s">
        <v>37</v>
      </c>
      <c r="J43" s="2" t="s">
        <v>38</v>
      </c>
      <c r="K43" s="2" t="s">
        <v>39</v>
      </c>
      <c r="L43" s="2" t="s">
        <v>49</v>
      </c>
      <c r="M43" s="2" t="s">
        <v>41</v>
      </c>
      <c r="N43" s="2" t="s">
        <v>42</v>
      </c>
    </row>
    <row r="44" spans="2:14" ht="14.25" x14ac:dyDescent="0.25">
      <c r="B44" s="2" t="s">
        <v>46</v>
      </c>
      <c r="C44" s="3">
        <v>718019</v>
      </c>
      <c r="D44" s="3">
        <v>632607</v>
      </c>
      <c r="E44" s="7">
        <v>1002916</v>
      </c>
      <c r="F44" s="3">
        <v>663679</v>
      </c>
      <c r="G44" s="3">
        <v>658663</v>
      </c>
      <c r="H44" s="3">
        <v>687523</v>
      </c>
      <c r="I44" s="3">
        <v>667106</v>
      </c>
      <c r="J44" s="3">
        <v>695341</v>
      </c>
      <c r="K44" s="3">
        <v>705449</v>
      </c>
      <c r="L44" s="3">
        <v>701936</v>
      </c>
      <c r="M44" s="3">
        <v>674797</v>
      </c>
      <c r="N44" s="3">
        <v>733402</v>
      </c>
    </row>
    <row r="45" spans="2:14" ht="14.25" x14ac:dyDescent="0.25">
      <c r="B45" s="2" t="s">
        <v>44</v>
      </c>
      <c r="C45" s="26">
        <f>+C44</f>
        <v>718019</v>
      </c>
      <c r="D45" s="26">
        <f t="shared" ref="D45:N45" si="16">+D44+C45</f>
        <v>1350626</v>
      </c>
      <c r="E45" s="26">
        <f t="shared" si="16"/>
        <v>2353542</v>
      </c>
      <c r="F45" s="26">
        <f t="shared" si="16"/>
        <v>3017221</v>
      </c>
      <c r="G45" s="26">
        <f t="shared" si="16"/>
        <v>3675884</v>
      </c>
      <c r="H45" s="26">
        <f t="shared" si="16"/>
        <v>4363407</v>
      </c>
      <c r="I45" s="26">
        <f t="shared" si="16"/>
        <v>5030513</v>
      </c>
      <c r="J45" s="26">
        <f t="shared" si="16"/>
        <v>5725854</v>
      </c>
      <c r="K45" s="26">
        <f t="shared" si="16"/>
        <v>6431303</v>
      </c>
      <c r="L45" s="26">
        <f t="shared" si="16"/>
        <v>7133239</v>
      </c>
      <c r="M45" s="26">
        <f t="shared" si="16"/>
        <v>7808036</v>
      </c>
      <c r="N45" s="26">
        <f t="shared" si="16"/>
        <v>8541438</v>
      </c>
    </row>
    <row r="46" spans="2:14" ht="14.25" x14ac:dyDescent="0.25">
      <c r="B46" s="2" t="s">
        <v>45</v>
      </c>
      <c r="C46" s="5">
        <f>+C45/S7</f>
        <v>8.4061692625198262E-2</v>
      </c>
      <c r="D46" s="5">
        <f>+D45/$S$7</f>
        <v>0.15812382076741846</v>
      </c>
      <c r="E46" s="5">
        <f t="shared" ref="E46:N46" si="17">+E45/$S$7</f>
        <v>0.27553967817633568</v>
      </c>
      <c r="F46" s="5">
        <f t="shared" si="17"/>
        <v>0.3532395441963142</v>
      </c>
      <c r="G46" s="5">
        <f t="shared" si="17"/>
        <v>0.43035216468350324</v>
      </c>
      <c r="H46" s="5">
        <f t="shared" si="17"/>
        <v>0.51084355432466066</v>
      </c>
      <c r="I46" s="5">
        <f t="shared" si="17"/>
        <v>0.58894463454736434</v>
      </c>
      <c r="J46" s="5">
        <f t="shared" si="17"/>
        <v>0.67035131238137424</v>
      </c>
      <c r="K46" s="5">
        <f t="shared" si="17"/>
        <v>0.75294137894055102</v>
      </c>
      <c r="L46" s="5">
        <f t="shared" si="17"/>
        <v>0.83512016289273217</v>
      </c>
      <c r="M46" s="5">
        <f t="shared" si="17"/>
        <v>0.91412166285081953</v>
      </c>
      <c r="N46" s="5">
        <f t="shared" si="17"/>
        <v>0.99998431202125326</v>
      </c>
    </row>
    <row r="48" spans="2:14" ht="28.5" x14ac:dyDescent="0.25">
      <c r="B48" s="6">
        <v>2026</v>
      </c>
      <c r="C48" s="2" t="s">
        <v>24</v>
      </c>
      <c r="D48" s="2" t="s">
        <v>25</v>
      </c>
      <c r="E48" s="2" t="s">
        <v>28</v>
      </c>
      <c r="F48" s="2" t="s">
        <v>29</v>
      </c>
      <c r="G48" s="2" t="s">
        <v>30</v>
      </c>
      <c r="H48" s="2" t="s">
        <v>31</v>
      </c>
      <c r="I48" s="2" t="s">
        <v>37</v>
      </c>
      <c r="J48" s="2" t="s">
        <v>38</v>
      </c>
      <c r="K48" s="2" t="s">
        <v>39</v>
      </c>
      <c r="L48" s="2" t="s">
        <v>49</v>
      </c>
      <c r="M48" s="2" t="s">
        <v>41</v>
      </c>
      <c r="N48" s="2" t="s">
        <v>42</v>
      </c>
    </row>
    <row r="49" spans="2:14" ht="14.25" x14ac:dyDescent="0.25">
      <c r="B49" s="2" t="s">
        <v>46</v>
      </c>
      <c r="C49" s="3">
        <v>691050</v>
      </c>
      <c r="D49" s="3">
        <v>681966</v>
      </c>
      <c r="E49" s="7">
        <v>1061182</v>
      </c>
      <c r="F49" s="3">
        <v>688258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</row>
    <row r="50" spans="2:14" ht="14.25" x14ac:dyDescent="0.25">
      <c r="B50" s="2" t="s">
        <v>44</v>
      </c>
      <c r="C50" s="26">
        <f>+C49</f>
        <v>691050</v>
      </c>
      <c r="D50" s="26">
        <f>+D49+C50</f>
        <v>1373016</v>
      </c>
      <c r="E50" s="26">
        <f t="shared" ref="E50:N50" si="18">+E49+D50</f>
        <v>2434198</v>
      </c>
      <c r="F50" s="26">
        <f t="shared" si="18"/>
        <v>3122456</v>
      </c>
      <c r="G50" s="26">
        <f t="shared" si="18"/>
        <v>3122456</v>
      </c>
      <c r="H50" s="26">
        <f t="shared" si="18"/>
        <v>3122456</v>
      </c>
      <c r="I50" s="26">
        <f t="shared" si="18"/>
        <v>3122456</v>
      </c>
      <c r="J50" s="26">
        <f t="shared" si="18"/>
        <v>3122456</v>
      </c>
      <c r="K50" s="26">
        <f t="shared" si="18"/>
        <v>3122456</v>
      </c>
      <c r="L50" s="26">
        <f t="shared" si="18"/>
        <v>3122456</v>
      </c>
      <c r="M50" s="26">
        <f t="shared" si="18"/>
        <v>3122456</v>
      </c>
      <c r="N50" s="26">
        <f t="shared" si="18"/>
        <v>3122456</v>
      </c>
    </row>
    <row r="51" spans="2:14" ht="14.25" x14ac:dyDescent="0.25">
      <c r="B51" s="2" t="s">
        <v>45</v>
      </c>
      <c r="C51" s="5">
        <f>+C50/$T$7</f>
        <v>7.853823529512044E-2</v>
      </c>
      <c r="D51" s="5">
        <f t="shared" ref="D51:N51" si="19">+D50/$T$7</f>
        <v>0.1560440686954129</v>
      </c>
      <c r="E51" s="5">
        <f t="shared" si="19"/>
        <v>0.27664802153087564</v>
      </c>
      <c r="F51" s="5">
        <f t="shared" si="19"/>
        <v>0.35486894439861166</v>
      </c>
      <c r="G51" s="5">
        <f t="shared" si="19"/>
        <v>0.35486894439861166</v>
      </c>
      <c r="H51" s="5">
        <f t="shared" si="19"/>
        <v>0.35486894439861166</v>
      </c>
      <c r="I51" s="5">
        <f t="shared" si="19"/>
        <v>0.35486894439861166</v>
      </c>
      <c r="J51" s="5">
        <f t="shared" si="19"/>
        <v>0.35486894439861166</v>
      </c>
      <c r="K51" s="5">
        <f t="shared" si="19"/>
        <v>0.35486894439861166</v>
      </c>
      <c r="L51" s="5">
        <f t="shared" si="19"/>
        <v>0.35486894439861166</v>
      </c>
      <c r="M51" s="5">
        <f t="shared" si="19"/>
        <v>0.35486894439861166</v>
      </c>
      <c r="N51" s="5">
        <f t="shared" si="19"/>
        <v>0.35486894439861166</v>
      </c>
    </row>
  </sheetData>
  <phoneticPr fontId="3" type="noConversion"/>
  <pageMargins left="0.7" right="0.7" top="0.75" bottom="0.75" header="0.3" footer="0.3"/>
  <pageSetup paperSize="9" orientation="portrait" r:id="rId1"/>
  <ignoredErrors>
    <ignoredError sqref="C7 D7:O7 P7:Q7 S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39"/>
  <sheetViews>
    <sheetView topLeftCell="A18" zoomScale="90" zoomScaleNormal="90" workbookViewId="0">
      <selection activeCell="A31" sqref="A31"/>
    </sheetView>
  </sheetViews>
  <sheetFormatPr baseColWidth="10" defaultColWidth="11.42578125" defaultRowHeight="12.75" x14ac:dyDescent="0.2"/>
  <cols>
    <col min="1" max="1" width="2.42578125" style="33" customWidth="1"/>
    <col min="2" max="2" width="17.7109375" style="33" bestFit="1" customWidth="1"/>
    <col min="3" max="3" width="34.28515625" style="33" customWidth="1"/>
    <col min="4" max="4" width="17.28515625" style="33" customWidth="1"/>
    <col min="5" max="5" width="11.42578125" style="33"/>
    <col min="6" max="6" width="26.7109375" style="33" bestFit="1" customWidth="1"/>
    <col min="7" max="7" width="60" style="33" bestFit="1" customWidth="1"/>
    <col min="8" max="8" width="15.42578125" style="33" customWidth="1"/>
    <col min="9" max="9" width="16.7109375" style="33" customWidth="1"/>
    <col min="10" max="10" width="16.28515625" style="33" customWidth="1"/>
    <col min="11" max="11" width="16.5703125" style="33" customWidth="1"/>
    <col min="12" max="12" width="12.7109375" style="33" customWidth="1"/>
    <col min="13" max="13" width="11.42578125" style="33"/>
    <col min="14" max="14" width="16.28515625" style="33" customWidth="1"/>
    <col min="15" max="15" width="11.5703125" style="33" customWidth="1"/>
    <col min="16" max="16" width="12.7109375" style="33" customWidth="1"/>
    <col min="17" max="17" width="11.28515625" style="33" customWidth="1"/>
    <col min="18" max="18" width="14.7109375" style="33" customWidth="1"/>
    <col min="19" max="19" width="15.7109375" style="33" customWidth="1"/>
    <col min="20" max="20" width="11.42578125" style="33"/>
    <col min="21" max="21" width="12.28515625" style="33" bestFit="1" customWidth="1"/>
    <col min="22" max="16384" width="11.42578125" style="33"/>
  </cols>
  <sheetData>
    <row r="1" spans="2:20" ht="17.25" customHeight="1" x14ac:dyDescent="0.2">
      <c r="R1" s="34"/>
    </row>
    <row r="2" spans="2:20" ht="26.25" customHeight="1" x14ac:dyDescent="0.2">
      <c r="B2" s="35" t="s">
        <v>2</v>
      </c>
      <c r="C2" s="35" t="s">
        <v>3</v>
      </c>
      <c r="D2" s="35" t="s">
        <v>4</v>
      </c>
      <c r="E2" s="35" t="s">
        <v>5</v>
      </c>
      <c r="F2" s="35" t="s">
        <v>22</v>
      </c>
      <c r="G2" s="35" t="s">
        <v>6</v>
      </c>
      <c r="H2" s="35" t="s">
        <v>7</v>
      </c>
      <c r="I2" s="35" t="s">
        <v>8</v>
      </c>
      <c r="J2" s="35" t="s">
        <v>9</v>
      </c>
      <c r="K2" s="35" t="s">
        <v>10</v>
      </c>
      <c r="L2" s="35" t="s">
        <v>11</v>
      </c>
      <c r="M2" s="35" t="s">
        <v>12</v>
      </c>
      <c r="N2" s="35" t="s">
        <v>13</v>
      </c>
      <c r="O2" s="35" t="s">
        <v>14</v>
      </c>
      <c r="P2" s="35" t="s">
        <v>15</v>
      </c>
      <c r="Q2" s="35" t="s">
        <v>50</v>
      </c>
      <c r="R2" s="35" t="s">
        <v>53</v>
      </c>
      <c r="S2" s="35" t="s">
        <v>52</v>
      </c>
      <c r="T2" s="35" t="s">
        <v>95</v>
      </c>
    </row>
    <row r="3" spans="2:20" ht="15" customHeight="1" x14ac:dyDescent="0.25">
      <c r="B3" s="39" t="s">
        <v>73</v>
      </c>
      <c r="C3" s="40" t="s">
        <v>74</v>
      </c>
      <c r="D3" s="41" t="s">
        <v>56</v>
      </c>
      <c r="E3" s="39" t="s">
        <v>75</v>
      </c>
      <c r="F3" s="39" t="s">
        <v>76</v>
      </c>
      <c r="G3" s="42" t="s">
        <v>77</v>
      </c>
      <c r="H3" s="39" t="s">
        <v>78</v>
      </c>
      <c r="I3" s="43">
        <v>46049.69189814815</v>
      </c>
      <c r="J3" s="43">
        <v>46049.696828703702</v>
      </c>
      <c r="K3" s="44">
        <v>252101</v>
      </c>
      <c r="L3" s="44">
        <v>0</v>
      </c>
      <c r="M3" s="44">
        <v>0</v>
      </c>
      <c r="N3" s="44">
        <v>47899.19</v>
      </c>
      <c r="O3" s="44">
        <v>0</v>
      </c>
      <c r="P3" s="44">
        <v>300000.19</v>
      </c>
      <c r="Q3" s="42" t="s">
        <v>97</v>
      </c>
      <c r="R3" s="42" t="s">
        <v>97</v>
      </c>
      <c r="S3" s="45">
        <f>+P3</f>
        <v>300000.19</v>
      </c>
      <c r="T3" s="84" t="s">
        <v>96</v>
      </c>
    </row>
    <row r="4" spans="2:20" ht="15" customHeight="1" x14ac:dyDescent="0.25">
      <c r="B4" s="39" t="s">
        <v>79</v>
      </c>
      <c r="C4" s="40" t="s">
        <v>80</v>
      </c>
      <c r="D4" s="41" t="s">
        <v>56</v>
      </c>
      <c r="E4" s="39" t="s">
        <v>75</v>
      </c>
      <c r="F4" s="39" t="s">
        <v>76</v>
      </c>
      <c r="G4" s="42" t="s">
        <v>81</v>
      </c>
      <c r="H4" s="39" t="s">
        <v>82</v>
      </c>
      <c r="I4" s="43">
        <v>46045.481956018521</v>
      </c>
      <c r="J4" s="43">
        <v>46045.487280092595</v>
      </c>
      <c r="K4" s="44">
        <v>1316842</v>
      </c>
      <c r="L4" s="44">
        <v>0</v>
      </c>
      <c r="M4" s="44">
        <v>0</v>
      </c>
      <c r="N4" s="44">
        <v>250199.98</v>
      </c>
      <c r="O4" s="44">
        <v>0</v>
      </c>
      <c r="P4" s="44">
        <v>1567041.98</v>
      </c>
      <c r="Q4" s="42" t="s">
        <v>97</v>
      </c>
      <c r="R4" s="42" t="s">
        <v>97</v>
      </c>
      <c r="S4" s="45">
        <f t="shared" ref="S4:S7" si="0">+P4</f>
        <v>1567041.98</v>
      </c>
      <c r="T4" s="84" t="s">
        <v>96</v>
      </c>
    </row>
    <row r="5" spans="2:20" ht="15" customHeight="1" x14ac:dyDescent="0.25">
      <c r="B5" s="39" t="s">
        <v>83</v>
      </c>
      <c r="C5" s="40" t="s">
        <v>84</v>
      </c>
      <c r="D5" s="41" t="s">
        <v>56</v>
      </c>
      <c r="E5" s="39" t="s">
        <v>75</v>
      </c>
      <c r="F5" s="39" t="s">
        <v>76</v>
      </c>
      <c r="G5" s="42" t="s">
        <v>85</v>
      </c>
      <c r="H5" s="39" t="s">
        <v>86</v>
      </c>
      <c r="I5" s="43">
        <v>46038.687708333331</v>
      </c>
      <c r="J5" s="43">
        <v>46038.709131944444</v>
      </c>
      <c r="K5" s="44">
        <v>1020000</v>
      </c>
      <c r="L5" s="44">
        <v>0</v>
      </c>
      <c r="M5" s="44">
        <v>0</v>
      </c>
      <c r="N5" s="44">
        <v>193800</v>
      </c>
      <c r="O5" s="44">
        <v>0</v>
      </c>
      <c r="P5" s="44">
        <v>1213800</v>
      </c>
      <c r="Q5" s="42" t="s">
        <v>97</v>
      </c>
      <c r="R5" s="42" t="s">
        <v>97</v>
      </c>
      <c r="S5" s="45">
        <f t="shared" si="0"/>
        <v>1213800</v>
      </c>
      <c r="T5" s="84" t="s">
        <v>96</v>
      </c>
    </row>
    <row r="6" spans="2:20" ht="15" customHeight="1" x14ac:dyDescent="0.25">
      <c r="B6" s="39" t="s">
        <v>87</v>
      </c>
      <c r="C6" s="40" t="s">
        <v>88</v>
      </c>
      <c r="D6" s="41" t="s">
        <v>56</v>
      </c>
      <c r="E6" s="39" t="s">
        <v>75</v>
      </c>
      <c r="F6" s="39" t="s">
        <v>76</v>
      </c>
      <c r="G6" s="42" t="s">
        <v>89</v>
      </c>
      <c r="H6" s="39" t="s">
        <v>90</v>
      </c>
      <c r="I6" s="43">
        <v>46038.66909722222</v>
      </c>
      <c r="J6" s="43">
        <v>46038.701307870368</v>
      </c>
      <c r="K6" s="44">
        <v>415000</v>
      </c>
      <c r="L6" s="44">
        <v>0</v>
      </c>
      <c r="M6" s="44">
        <v>0</v>
      </c>
      <c r="N6" s="44">
        <v>78850</v>
      </c>
      <c r="O6" s="44">
        <v>0</v>
      </c>
      <c r="P6" s="44">
        <v>493850</v>
      </c>
      <c r="Q6" s="42" t="s">
        <v>97</v>
      </c>
      <c r="R6" s="42" t="s">
        <v>97</v>
      </c>
      <c r="S6" s="45">
        <f t="shared" si="0"/>
        <v>493850</v>
      </c>
      <c r="T6" s="84" t="s">
        <v>96</v>
      </c>
    </row>
    <row r="7" spans="2:20" ht="15" customHeight="1" x14ac:dyDescent="0.25">
      <c r="B7" s="39" t="s">
        <v>91</v>
      </c>
      <c r="C7" s="40" t="s">
        <v>92</v>
      </c>
      <c r="D7" s="41" t="s">
        <v>56</v>
      </c>
      <c r="E7" s="39" t="s">
        <v>75</v>
      </c>
      <c r="F7" s="39" t="s">
        <v>76</v>
      </c>
      <c r="G7" s="42" t="s">
        <v>93</v>
      </c>
      <c r="H7" s="39" t="s">
        <v>94</v>
      </c>
      <c r="I7" s="43">
        <v>46031.682650462964</v>
      </c>
      <c r="J7" s="43">
        <v>46031.690833333334</v>
      </c>
      <c r="K7" s="44">
        <v>520000</v>
      </c>
      <c r="L7" s="44">
        <v>0</v>
      </c>
      <c r="M7" s="44">
        <v>0</v>
      </c>
      <c r="N7" s="44">
        <v>98800</v>
      </c>
      <c r="O7" s="44">
        <v>0</v>
      </c>
      <c r="P7" s="44">
        <v>618800</v>
      </c>
      <c r="Q7" s="42" t="s">
        <v>97</v>
      </c>
      <c r="R7" s="42" t="s">
        <v>97</v>
      </c>
      <c r="S7" s="45">
        <f t="shared" si="0"/>
        <v>618800</v>
      </c>
      <c r="T7" s="84" t="s">
        <v>96</v>
      </c>
    </row>
    <row r="8" spans="2:20" ht="15" customHeight="1" thickBot="1" x14ac:dyDescent="0.25">
      <c r="B8" s="77" t="s">
        <v>55</v>
      </c>
      <c r="C8" s="49"/>
      <c r="D8" s="49">
        <f>COUNTA(D3:D7)</f>
        <v>5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78"/>
      <c r="Q8" s="49"/>
      <c r="R8" s="49"/>
      <c r="S8" s="87">
        <f>SUM(S3:S7)</f>
        <v>4193492.17</v>
      </c>
      <c r="T8" s="85"/>
    </row>
    <row r="9" spans="2:20" ht="15" customHeight="1" x14ac:dyDescent="0.25">
      <c r="B9" s="39" t="s">
        <v>100</v>
      </c>
      <c r="C9" s="40" t="s">
        <v>101</v>
      </c>
      <c r="D9" s="41" t="s">
        <v>56</v>
      </c>
      <c r="E9" s="39" t="s">
        <v>75</v>
      </c>
      <c r="F9" s="39" t="s">
        <v>76</v>
      </c>
      <c r="G9" s="42" t="s">
        <v>102</v>
      </c>
      <c r="H9" s="39" t="s">
        <v>103</v>
      </c>
      <c r="I9" s="43">
        <v>46072.550266203703</v>
      </c>
      <c r="J9" s="43">
        <v>46072.580358796295</v>
      </c>
      <c r="K9" s="44">
        <v>1206320</v>
      </c>
      <c r="L9" s="44">
        <v>0</v>
      </c>
      <c r="M9" s="44">
        <v>0</v>
      </c>
      <c r="N9" s="44">
        <v>229200.8</v>
      </c>
      <c r="O9" s="44">
        <v>0</v>
      </c>
      <c r="P9" s="44">
        <v>1435521</v>
      </c>
      <c r="Q9" s="42" t="s">
        <v>97</v>
      </c>
      <c r="R9" s="42" t="s">
        <v>97</v>
      </c>
      <c r="S9" s="45">
        <f>+P9</f>
        <v>1435521</v>
      </c>
      <c r="T9" s="84" t="s">
        <v>96</v>
      </c>
    </row>
    <row r="10" spans="2:20" ht="15" customHeight="1" x14ac:dyDescent="0.25">
      <c r="B10" s="39" t="s">
        <v>104</v>
      </c>
      <c r="C10" s="40" t="s">
        <v>105</v>
      </c>
      <c r="D10" s="41" t="s">
        <v>56</v>
      </c>
      <c r="E10" s="39" t="s">
        <v>75</v>
      </c>
      <c r="F10" s="39" t="s">
        <v>76</v>
      </c>
      <c r="G10" s="42" t="s">
        <v>106</v>
      </c>
      <c r="H10" s="39" t="s">
        <v>107</v>
      </c>
      <c r="I10" s="43">
        <v>46070.45826388889</v>
      </c>
      <c r="J10" s="43">
        <v>46070.464826388888</v>
      </c>
      <c r="K10" s="44">
        <v>1294000</v>
      </c>
      <c r="L10" s="44">
        <v>0</v>
      </c>
      <c r="M10" s="44">
        <v>0</v>
      </c>
      <c r="N10" s="44">
        <v>245860</v>
      </c>
      <c r="O10" s="44">
        <v>0</v>
      </c>
      <c r="P10" s="44">
        <v>1539860</v>
      </c>
      <c r="Q10" s="42" t="s">
        <v>97</v>
      </c>
      <c r="R10" s="42" t="s">
        <v>97</v>
      </c>
      <c r="S10" s="45">
        <f t="shared" ref="S10:S14" si="1">+P10</f>
        <v>1539860</v>
      </c>
      <c r="T10" s="84" t="s">
        <v>96</v>
      </c>
    </row>
    <row r="11" spans="2:20" ht="15" customHeight="1" x14ac:dyDescent="0.25">
      <c r="B11" s="39" t="s">
        <v>108</v>
      </c>
      <c r="C11" s="40" t="s">
        <v>109</v>
      </c>
      <c r="D11" s="41" t="s">
        <v>54</v>
      </c>
      <c r="E11" s="39" t="s">
        <v>75</v>
      </c>
      <c r="F11" s="39" t="s">
        <v>76</v>
      </c>
      <c r="G11" s="42" t="s">
        <v>110</v>
      </c>
      <c r="H11" s="39" t="s">
        <v>111</v>
      </c>
      <c r="I11" s="43">
        <v>46070.418009259258</v>
      </c>
      <c r="J11" s="43">
        <v>46070.447210648148</v>
      </c>
      <c r="K11" s="44">
        <v>53191</v>
      </c>
      <c r="L11" s="44">
        <v>0</v>
      </c>
      <c r="M11" s="44">
        <v>7814</v>
      </c>
      <c r="N11" s="44">
        <v>0</v>
      </c>
      <c r="O11" s="44">
        <v>0</v>
      </c>
      <c r="P11" s="44">
        <v>61005</v>
      </c>
      <c r="Q11" s="42" t="s">
        <v>97</v>
      </c>
      <c r="R11" s="42" t="s">
        <v>97</v>
      </c>
      <c r="S11" s="45">
        <f t="shared" si="1"/>
        <v>61005</v>
      </c>
      <c r="T11" s="84" t="s">
        <v>96</v>
      </c>
    </row>
    <row r="12" spans="2:20" ht="15" customHeight="1" x14ac:dyDescent="0.25">
      <c r="B12" s="39" t="s">
        <v>112</v>
      </c>
      <c r="C12" s="40" t="s">
        <v>113</v>
      </c>
      <c r="D12" s="41" t="s">
        <v>54</v>
      </c>
      <c r="E12" s="39" t="s">
        <v>75</v>
      </c>
      <c r="F12" s="39" t="s">
        <v>76</v>
      </c>
      <c r="G12" s="42" t="s">
        <v>110</v>
      </c>
      <c r="H12" s="39" t="s">
        <v>111</v>
      </c>
      <c r="I12" s="43">
        <v>46070.415266203701</v>
      </c>
      <c r="J12" s="43">
        <v>46070.446782407409</v>
      </c>
      <c r="K12" s="44">
        <v>45591</v>
      </c>
      <c r="L12" s="44">
        <v>0</v>
      </c>
      <c r="M12" s="44">
        <v>5956</v>
      </c>
      <c r="N12" s="44">
        <v>0</v>
      </c>
      <c r="O12" s="44">
        <v>0</v>
      </c>
      <c r="P12" s="44">
        <v>51547</v>
      </c>
      <c r="Q12" s="42" t="s">
        <v>97</v>
      </c>
      <c r="R12" s="42" t="s">
        <v>97</v>
      </c>
      <c r="S12" s="45">
        <f t="shared" si="1"/>
        <v>51547</v>
      </c>
      <c r="T12" s="84" t="s">
        <v>96</v>
      </c>
    </row>
    <row r="13" spans="2:20" ht="15" customHeight="1" x14ac:dyDescent="0.25">
      <c r="B13" s="39" t="s">
        <v>114</v>
      </c>
      <c r="C13" s="40" t="s">
        <v>115</v>
      </c>
      <c r="D13" s="41" t="s">
        <v>56</v>
      </c>
      <c r="E13" s="39" t="s">
        <v>75</v>
      </c>
      <c r="F13" s="39" t="s">
        <v>76</v>
      </c>
      <c r="G13" s="42" t="s">
        <v>116</v>
      </c>
      <c r="H13" s="39" t="s">
        <v>117</v>
      </c>
      <c r="I13" s="43">
        <v>46065.395636574074</v>
      </c>
      <c r="J13" s="43">
        <v>46065.516631944447</v>
      </c>
      <c r="K13" s="44">
        <v>457500</v>
      </c>
      <c r="L13" s="44">
        <v>0</v>
      </c>
      <c r="M13" s="44">
        <v>0</v>
      </c>
      <c r="N13" s="44">
        <v>86925</v>
      </c>
      <c r="O13" s="44">
        <v>0</v>
      </c>
      <c r="P13" s="44">
        <v>544425</v>
      </c>
      <c r="Q13" s="42" t="s">
        <v>97</v>
      </c>
      <c r="R13" s="42" t="s">
        <v>97</v>
      </c>
      <c r="S13" s="45">
        <f t="shared" si="1"/>
        <v>544425</v>
      </c>
      <c r="T13" s="84" t="s">
        <v>96</v>
      </c>
    </row>
    <row r="14" spans="2:20" ht="15" customHeight="1" x14ac:dyDescent="0.25">
      <c r="B14" s="39" t="s">
        <v>118</v>
      </c>
      <c r="C14" s="40" t="s">
        <v>119</v>
      </c>
      <c r="D14" s="41" t="s">
        <v>27</v>
      </c>
      <c r="E14" s="39" t="s">
        <v>75</v>
      </c>
      <c r="F14" s="39" t="s">
        <v>76</v>
      </c>
      <c r="G14" s="42" t="s">
        <v>120</v>
      </c>
      <c r="H14" s="39" t="s">
        <v>121</v>
      </c>
      <c r="I14" s="43">
        <v>46055.544803240744</v>
      </c>
      <c r="J14" s="43">
        <v>46055.570775462962</v>
      </c>
      <c r="K14" s="44">
        <v>198556050</v>
      </c>
      <c r="L14" s="44">
        <v>0</v>
      </c>
      <c r="M14" s="44">
        <v>0</v>
      </c>
      <c r="N14" s="44">
        <v>37725649.5</v>
      </c>
      <c r="O14" s="44">
        <v>0</v>
      </c>
      <c r="P14" s="44">
        <v>236281700</v>
      </c>
      <c r="Q14" s="42" t="s">
        <v>97</v>
      </c>
      <c r="R14" s="42" t="s">
        <v>97</v>
      </c>
      <c r="S14" s="45">
        <f t="shared" si="1"/>
        <v>236281700</v>
      </c>
      <c r="T14" s="84" t="s">
        <v>96</v>
      </c>
    </row>
    <row r="15" spans="2:20" ht="15" customHeight="1" thickBot="1" x14ac:dyDescent="0.25">
      <c r="B15" s="77" t="s">
        <v>99</v>
      </c>
      <c r="C15" s="49"/>
      <c r="D15" s="49">
        <f>COUNTA(D9:D14)</f>
        <v>6</v>
      </c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78"/>
      <c r="Q15" s="49"/>
      <c r="R15" s="49"/>
      <c r="S15" s="87">
        <f>SUM(S9:S14)</f>
        <v>239914058</v>
      </c>
      <c r="T15" s="85"/>
    </row>
    <row r="16" spans="2:20" ht="15" customHeight="1" x14ac:dyDescent="0.25">
      <c r="B16" s="39" t="s">
        <v>123</v>
      </c>
      <c r="C16" s="40" t="s">
        <v>124</v>
      </c>
      <c r="D16" s="41" t="s">
        <v>0</v>
      </c>
      <c r="E16" s="39" t="s">
        <v>75</v>
      </c>
      <c r="F16" s="39" t="s">
        <v>76</v>
      </c>
      <c r="G16" s="42" t="s">
        <v>125</v>
      </c>
      <c r="H16" s="39" t="s">
        <v>126</v>
      </c>
      <c r="I16" s="43">
        <v>46104.440555555557</v>
      </c>
      <c r="J16" s="43">
        <v>46104.474374999998</v>
      </c>
      <c r="K16" s="44">
        <v>25210084</v>
      </c>
      <c r="L16" s="44">
        <v>0</v>
      </c>
      <c r="M16" s="44">
        <v>0</v>
      </c>
      <c r="N16" s="44">
        <v>4789915.96</v>
      </c>
      <c r="O16" s="44">
        <v>0</v>
      </c>
      <c r="P16" s="44">
        <v>29999999.960000001</v>
      </c>
      <c r="Q16" s="42" t="s">
        <v>97</v>
      </c>
      <c r="R16" s="42" t="s">
        <v>97</v>
      </c>
      <c r="S16" s="45">
        <f>+P16</f>
        <v>29999999.960000001</v>
      </c>
      <c r="T16" s="84" t="s">
        <v>96</v>
      </c>
    </row>
    <row r="17" spans="2:20" ht="15" customHeight="1" x14ac:dyDescent="0.25">
      <c r="B17" s="39" t="s">
        <v>127</v>
      </c>
      <c r="C17" s="40" t="s">
        <v>128</v>
      </c>
      <c r="D17" s="41" t="s">
        <v>56</v>
      </c>
      <c r="E17" s="39" t="s">
        <v>75</v>
      </c>
      <c r="F17" s="39" t="s">
        <v>76</v>
      </c>
      <c r="G17" s="42" t="s">
        <v>129</v>
      </c>
      <c r="H17" s="39" t="s">
        <v>130</v>
      </c>
      <c r="I17" s="43">
        <v>46093.477164351854</v>
      </c>
      <c r="J17" s="43">
        <v>46093.491770833331</v>
      </c>
      <c r="K17" s="44">
        <v>384000</v>
      </c>
      <c r="L17" s="44">
        <v>0</v>
      </c>
      <c r="M17" s="44">
        <v>0</v>
      </c>
      <c r="N17" s="44">
        <v>72960</v>
      </c>
      <c r="O17" s="44">
        <v>0</v>
      </c>
      <c r="P17" s="44">
        <v>456960</v>
      </c>
      <c r="Q17" s="42" t="s">
        <v>97</v>
      </c>
      <c r="R17" s="42" t="s">
        <v>97</v>
      </c>
      <c r="S17" s="45">
        <f t="shared" ref="S17:S18" si="2">+P17</f>
        <v>456960</v>
      </c>
      <c r="T17" s="84" t="s">
        <v>96</v>
      </c>
    </row>
    <row r="18" spans="2:20" ht="15" customHeight="1" x14ac:dyDescent="0.25">
      <c r="B18" s="39" t="s">
        <v>131</v>
      </c>
      <c r="C18" s="40" t="s">
        <v>132</v>
      </c>
      <c r="D18" s="41" t="s">
        <v>56</v>
      </c>
      <c r="E18" s="39" t="s">
        <v>75</v>
      </c>
      <c r="F18" s="39" t="s">
        <v>76</v>
      </c>
      <c r="G18" s="42" t="s">
        <v>133</v>
      </c>
      <c r="H18" s="39" t="s">
        <v>134</v>
      </c>
      <c r="I18" s="43">
        <v>46085.541030092594</v>
      </c>
      <c r="J18" s="43">
        <v>46085.551157407404</v>
      </c>
      <c r="K18" s="44">
        <v>416500</v>
      </c>
      <c r="L18" s="44">
        <v>0</v>
      </c>
      <c r="M18" s="44">
        <v>0</v>
      </c>
      <c r="N18" s="44">
        <v>79135</v>
      </c>
      <c r="O18" s="44">
        <v>0</v>
      </c>
      <c r="P18" s="44">
        <v>495635</v>
      </c>
      <c r="Q18" s="42" t="s">
        <v>97</v>
      </c>
      <c r="R18" s="42" t="s">
        <v>97</v>
      </c>
      <c r="S18" s="45">
        <f t="shared" si="2"/>
        <v>495635</v>
      </c>
      <c r="T18" s="84" t="s">
        <v>96</v>
      </c>
    </row>
    <row r="19" spans="2:20" ht="15" customHeight="1" thickBot="1" x14ac:dyDescent="0.25">
      <c r="B19" s="77" t="s">
        <v>135</v>
      </c>
      <c r="C19" s="49"/>
      <c r="D19" s="49">
        <f>COUNTA(D16:D18)</f>
        <v>3</v>
      </c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78"/>
      <c r="Q19" s="49"/>
      <c r="R19" s="49"/>
      <c r="S19" s="87">
        <f>SUM(S16:S18)</f>
        <v>30952594.960000001</v>
      </c>
      <c r="T19" s="85"/>
    </row>
    <row r="20" spans="2:20" ht="15" customHeight="1" x14ac:dyDescent="0.25">
      <c r="B20" s="39" t="s">
        <v>137</v>
      </c>
      <c r="C20" s="40" t="s">
        <v>138</v>
      </c>
      <c r="D20" s="41" t="s">
        <v>56</v>
      </c>
      <c r="E20" s="39" t="s">
        <v>75</v>
      </c>
      <c r="F20" s="39" t="s">
        <v>76</v>
      </c>
      <c r="G20" s="42" t="s">
        <v>139</v>
      </c>
      <c r="H20" s="39" t="s">
        <v>140</v>
      </c>
      <c r="I20" s="43">
        <v>46139.460231481484</v>
      </c>
      <c r="J20" s="43">
        <v>46139.468182870369</v>
      </c>
      <c r="K20" s="44">
        <v>3960000</v>
      </c>
      <c r="L20" s="44">
        <v>0</v>
      </c>
      <c r="M20" s="44">
        <v>0</v>
      </c>
      <c r="N20" s="44">
        <v>0</v>
      </c>
      <c r="O20" s="44">
        <v>0</v>
      </c>
      <c r="P20" s="44">
        <v>3960000</v>
      </c>
      <c r="Q20" s="42" t="s">
        <v>97</v>
      </c>
      <c r="R20" s="42" t="s">
        <v>97</v>
      </c>
      <c r="S20" s="45">
        <f>+P20</f>
        <v>3960000</v>
      </c>
      <c r="T20" s="84" t="s">
        <v>96</v>
      </c>
    </row>
    <row r="21" spans="2:20" ht="15" customHeight="1" x14ac:dyDescent="0.25">
      <c r="B21" s="39" t="s">
        <v>141</v>
      </c>
      <c r="C21" s="40" t="s">
        <v>142</v>
      </c>
      <c r="D21" s="41" t="s">
        <v>56</v>
      </c>
      <c r="E21" s="39" t="s">
        <v>75</v>
      </c>
      <c r="F21" s="39" t="s">
        <v>76</v>
      </c>
      <c r="G21" s="42" t="s">
        <v>81</v>
      </c>
      <c r="H21" s="39" t="s">
        <v>82</v>
      </c>
      <c r="I21" s="43">
        <v>46139.402094907404</v>
      </c>
      <c r="J21" s="43">
        <v>46139.412175925929</v>
      </c>
      <c r="K21" s="44">
        <v>1597474</v>
      </c>
      <c r="L21" s="44">
        <v>0</v>
      </c>
      <c r="M21" s="44">
        <v>0</v>
      </c>
      <c r="N21" s="44">
        <v>303520.06</v>
      </c>
      <c r="O21" s="44">
        <v>0</v>
      </c>
      <c r="P21" s="44">
        <v>1900994.06</v>
      </c>
      <c r="Q21" s="42" t="s">
        <v>97</v>
      </c>
      <c r="R21" s="42" t="s">
        <v>97</v>
      </c>
      <c r="S21" s="45">
        <f t="shared" ref="S21:S28" si="3">+P21</f>
        <v>1900994.06</v>
      </c>
      <c r="T21" s="84" t="s">
        <v>96</v>
      </c>
    </row>
    <row r="22" spans="2:20" ht="15" customHeight="1" x14ac:dyDescent="0.25">
      <c r="B22" s="39" t="s">
        <v>143</v>
      </c>
      <c r="C22" s="40" t="s">
        <v>144</v>
      </c>
      <c r="D22" s="41" t="s">
        <v>56</v>
      </c>
      <c r="E22" s="39" t="s">
        <v>75</v>
      </c>
      <c r="F22" s="39" t="s">
        <v>76</v>
      </c>
      <c r="G22" s="42" t="s">
        <v>81</v>
      </c>
      <c r="H22" s="39" t="s">
        <v>82</v>
      </c>
      <c r="I22" s="43">
        <v>46135.68608796296</v>
      </c>
      <c r="J22" s="43">
        <v>46135.692650462966</v>
      </c>
      <c r="K22" s="44">
        <v>2173138</v>
      </c>
      <c r="L22" s="44">
        <v>0</v>
      </c>
      <c r="M22" s="44">
        <v>0</v>
      </c>
      <c r="N22" s="44">
        <v>412896.22</v>
      </c>
      <c r="O22" s="44">
        <v>0</v>
      </c>
      <c r="P22" s="44">
        <v>2586034.2200000002</v>
      </c>
      <c r="Q22" s="42" t="s">
        <v>97</v>
      </c>
      <c r="R22" s="42" t="s">
        <v>97</v>
      </c>
      <c r="S22" s="45">
        <f t="shared" si="3"/>
        <v>2586034.2200000002</v>
      </c>
      <c r="T22" s="84" t="s">
        <v>96</v>
      </c>
    </row>
    <row r="23" spans="2:20" ht="15" customHeight="1" x14ac:dyDescent="0.25">
      <c r="B23" s="39" t="s">
        <v>145</v>
      </c>
      <c r="C23" s="40" t="s">
        <v>146</v>
      </c>
      <c r="D23" s="41" t="s">
        <v>56</v>
      </c>
      <c r="E23" s="39" t="s">
        <v>75</v>
      </c>
      <c r="F23" s="39" t="s">
        <v>76</v>
      </c>
      <c r="G23" s="42" t="s">
        <v>147</v>
      </c>
      <c r="H23" s="39" t="s">
        <v>148</v>
      </c>
      <c r="I23" s="43">
        <v>46121.504907407405</v>
      </c>
      <c r="J23" s="43">
        <v>46121.528564814813</v>
      </c>
      <c r="K23" s="44">
        <v>572666</v>
      </c>
      <c r="L23" s="44">
        <v>0</v>
      </c>
      <c r="M23" s="44">
        <v>25000</v>
      </c>
      <c r="N23" s="44">
        <v>113556.54</v>
      </c>
      <c r="O23" s="44">
        <v>0</v>
      </c>
      <c r="P23" s="44">
        <v>711222.54</v>
      </c>
      <c r="Q23" s="42" t="s">
        <v>97</v>
      </c>
      <c r="R23" s="42" t="s">
        <v>97</v>
      </c>
      <c r="S23" s="45">
        <f t="shared" si="3"/>
        <v>711222.54</v>
      </c>
      <c r="T23" s="84" t="s">
        <v>96</v>
      </c>
    </row>
    <row r="24" spans="2:20" ht="15" customHeight="1" x14ac:dyDescent="0.25">
      <c r="B24" s="39" t="s">
        <v>149</v>
      </c>
      <c r="C24" s="40" t="s">
        <v>150</v>
      </c>
      <c r="D24" s="41" t="s">
        <v>56</v>
      </c>
      <c r="E24" s="39" t="s">
        <v>75</v>
      </c>
      <c r="F24" s="39" t="s">
        <v>76</v>
      </c>
      <c r="G24" s="42" t="s">
        <v>151</v>
      </c>
      <c r="H24" s="39" t="s">
        <v>152</v>
      </c>
      <c r="I24" s="43">
        <v>46120.643622685187</v>
      </c>
      <c r="J24" s="43">
        <v>46120.662627314814</v>
      </c>
      <c r="K24" s="44">
        <v>546219</v>
      </c>
      <c r="L24" s="44">
        <v>0</v>
      </c>
      <c r="M24" s="44">
        <v>0</v>
      </c>
      <c r="N24" s="44">
        <v>103781.61</v>
      </c>
      <c r="O24" s="44">
        <v>0</v>
      </c>
      <c r="P24" s="44">
        <v>650000.61</v>
      </c>
      <c r="Q24" s="42" t="s">
        <v>97</v>
      </c>
      <c r="R24" s="42" t="s">
        <v>97</v>
      </c>
      <c r="S24" s="45">
        <f t="shared" si="3"/>
        <v>650000.61</v>
      </c>
      <c r="T24" s="84" t="s">
        <v>96</v>
      </c>
    </row>
    <row r="25" spans="2:20" ht="15" customHeight="1" x14ac:dyDescent="0.25">
      <c r="B25" s="39" t="s">
        <v>153</v>
      </c>
      <c r="C25" s="40" t="s">
        <v>154</v>
      </c>
      <c r="D25" s="41" t="s">
        <v>56</v>
      </c>
      <c r="E25" s="39" t="s">
        <v>75</v>
      </c>
      <c r="F25" s="39" t="s">
        <v>76</v>
      </c>
      <c r="G25" s="42" t="s">
        <v>155</v>
      </c>
      <c r="H25" s="39" t="s">
        <v>156</v>
      </c>
      <c r="I25" s="43">
        <v>46118.721296296295</v>
      </c>
      <c r="J25" s="43">
        <v>46118.726446759261</v>
      </c>
      <c r="K25" s="44">
        <v>705740</v>
      </c>
      <c r="L25" s="44">
        <v>0</v>
      </c>
      <c r="M25" s="44">
        <v>0</v>
      </c>
      <c r="N25" s="44">
        <v>134090.6</v>
      </c>
      <c r="O25" s="44">
        <v>0</v>
      </c>
      <c r="P25" s="44">
        <v>839830.6</v>
      </c>
      <c r="Q25" s="42" t="s">
        <v>97</v>
      </c>
      <c r="R25" s="42" t="s">
        <v>97</v>
      </c>
      <c r="S25" s="45">
        <f t="shared" si="3"/>
        <v>839830.6</v>
      </c>
      <c r="T25" s="84" t="s">
        <v>96</v>
      </c>
    </row>
    <row r="26" spans="2:20" ht="15" customHeight="1" x14ac:dyDescent="0.25">
      <c r="B26" s="39" t="s">
        <v>157</v>
      </c>
      <c r="C26" s="40" t="s">
        <v>158</v>
      </c>
      <c r="D26" s="41" t="s">
        <v>56</v>
      </c>
      <c r="E26" s="39" t="s">
        <v>159</v>
      </c>
      <c r="F26" s="39" t="s">
        <v>76</v>
      </c>
      <c r="G26" s="42" t="s">
        <v>160</v>
      </c>
      <c r="H26" s="39" t="s">
        <v>161</v>
      </c>
      <c r="I26" s="43">
        <v>46118.445138888892</v>
      </c>
      <c r="J26" s="43">
        <v>46118.453229166669</v>
      </c>
      <c r="K26" s="44">
        <v>1890777</v>
      </c>
      <c r="L26" s="44">
        <v>0</v>
      </c>
      <c r="M26" s="44">
        <v>0</v>
      </c>
      <c r="N26" s="44">
        <v>359247.63</v>
      </c>
      <c r="O26" s="44">
        <v>0</v>
      </c>
      <c r="P26" s="44">
        <v>2250024.63</v>
      </c>
      <c r="Q26" s="42" t="s">
        <v>97</v>
      </c>
      <c r="R26" s="42" t="s">
        <v>97</v>
      </c>
      <c r="S26" s="45">
        <f t="shared" si="3"/>
        <v>2250024.63</v>
      </c>
      <c r="T26" s="84" t="s">
        <v>96</v>
      </c>
    </row>
    <row r="27" spans="2:20" ht="15" customHeight="1" x14ac:dyDescent="0.25">
      <c r="B27" s="39" t="s">
        <v>162</v>
      </c>
      <c r="C27" s="40" t="s">
        <v>163</v>
      </c>
      <c r="D27" s="41" t="s">
        <v>56</v>
      </c>
      <c r="E27" s="39" t="s">
        <v>75</v>
      </c>
      <c r="F27" s="39" t="s">
        <v>76</v>
      </c>
      <c r="G27" s="42" t="s">
        <v>164</v>
      </c>
      <c r="H27" s="39" t="s">
        <v>165</v>
      </c>
      <c r="I27" s="43">
        <v>46114.516840277778</v>
      </c>
      <c r="J27" s="43">
        <v>46114.558692129627</v>
      </c>
      <c r="K27" s="44">
        <v>702000</v>
      </c>
      <c r="L27" s="44">
        <v>0</v>
      </c>
      <c r="M27" s="44">
        <v>0</v>
      </c>
      <c r="N27" s="44">
        <v>133380</v>
      </c>
      <c r="O27" s="44">
        <v>0</v>
      </c>
      <c r="P27" s="44">
        <v>835380</v>
      </c>
      <c r="Q27" s="42" t="s">
        <v>97</v>
      </c>
      <c r="R27" s="42" t="s">
        <v>97</v>
      </c>
      <c r="S27" s="45">
        <f t="shared" si="3"/>
        <v>835380</v>
      </c>
      <c r="T27" s="84" t="s">
        <v>96</v>
      </c>
    </row>
    <row r="28" spans="2:20" ht="15" customHeight="1" x14ac:dyDescent="0.25">
      <c r="B28" s="39" t="s">
        <v>166</v>
      </c>
      <c r="C28" s="40" t="s">
        <v>167</v>
      </c>
      <c r="D28" s="41" t="s">
        <v>56</v>
      </c>
      <c r="E28" s="39" t="s">
        <v>75</v>
      </c>
      <c r="F28" s="39" t="s">
        <v>76</v>
      </c>
      <c r="G28" s="42" t="s">
        <v>168</v>
      </c>
      <c r="H28" s="39" t="s">
        <v>169</v>
      </c>
      <c r="I28" s="43">
        <v>46114.513865740744</v>
      </c>
      <c r="J28" s="43">
        <v>46114.54587962963</v>
      </c>
      <c r="K28" s="44">
        <v>2800000</v>
      </c>
      <c r="L28" s="44">
        <v>0</v>
      </c>
      <c r="M28" s="44">
        <v>0</v>
      </c>
      <c r="N28" s="44">
        <v>532000</v>
      </c>
      <c r="O28" s="44">
        <v>0</v>
      </c>
      <c r="P28" s="44">
        <v>3332000</v>
      </c>
      <c r="Q28" s="42" t="s">
        <v>97</v>
      </c>
      <c r="R28" s="42" t="s">
        <v>97</v>
      </c>
      <c r="S28" s="45">
        <f t="shared" si="3"/>
        <v>3332000</v>
      </c>
      <c r="T28" s="84" t="s">
        <v>96</v>
      </c>
    </row>
    <row r="29" spans="2:20" ht="15" customHeight="1" thickBot="1" x14ac:dyDescent="0.25">
      <c r="B29" s="77" t="s">
        <v>136</v>
      </c>
      <c r="C29" s="49"/>
      <c r="D29" s="49">
        <f>COUNTA(D20:D28)</f>
        <v>9</v>
      </c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78"/>
      <c r="Q29" s="49"/>
      <c r="R29" s="49"/>
      <c r="S29" s="87">
        <f>SUM(S20:S28)</f>
        <v>17065486.66</v>
      </c>
      <c r="T29" s="85"/>
    </row>
    <row r="30" spans="2:20" ht="15" customHeight="1" x14ac:dyDescent="0.25">
      <c r="B30" s="39" t="s">
        <v>172</v>
      </c>
      <c r="C30" s="40" t="s">
        <v>173</v>
      </c>
      <c r="D30" s="41" t="s">
        <v>56</v>
      </c>
      <c r="E30" s="39" t="s">
        <v>75</v>
      </c>
      <c r="F30" s="39" t="s">
        <v>76</v>
      </c>
      <c r="G30" s="42" t="s">
        <v>174</v>
      </c>
      <c r="H30" s="39" t="s">
        <v>175</v>
      </c>
      <c r="I30" s="43">
        <v>46167.514178240737</v>
      </c>
      <c r="J30" s="43">
        <v>46167.533773148149</v>
      </c>
      <c r="K30" s="44">
        <v>1399720</v>
      </c>
      <c r="L30" s="44">
        <v>0</v>
      </c>
      <c r="M30" s="44">
        <v>0</v>
      </c>
      <c r="N30" s="44">
        <v>265946.8</v>
      </c>
      <c r="O30" s="44">
        <v>0</v>
      </c>
      <c r="P30" s="44">
        <v>1665666.8</v>
      </c>
      <c r="Q30" s="42" t="s">
        <v>97</v>
      </c>
      <c r="R30" s="42" t="s">
        <v>97</v>
      </c>
      <c r="S30" s="45">
        <f>+P30</f>
        <v>1665666.8</v>
      </c>
      <c r="T30" s="84" t="s">
        <v>96</v>
      </c>
    </row>
    <row r="31" spans="2:20" ht="15" customHeight="1" x14ac:dyDescent="0.25">
      <c r="B31" s="39" t="s">
        <v>176</v>
      </c>
      <c r="C31" s="40" t="s">
        <v>177</v>
      </c>
      <c r="D31" s="41" t="s">
        <v>56</v>
      </c>
      <c r="E31" s="39" t="s">
        <v>75</v>
      </c>
      <c r="F31" s="39" t="s">
        <v>76</v>
      </c>
      <c r="G31" s="42" t="s">
        <v>178</v>
      </c>
      <c r="H31" s="39" t="s">
        <v>179</v>
      </c>
      <c r="I31" s="43">
        <v>46156.399247685185</v>
      </c>
      <c r="J31" s="43">
        <v>46156.415520833332</v>
      </c>
      <c r="K31" s="44">
        <v>619400</v>
      </c>
      <c r="L31" s="44">
        <v>0</v>
      </c>
      <c r="M31" s="44">
        <v>0</v>
      </c>
      <c r="N31" s="44">
        <v>117686</v>
      </c>
      <c r="O31" s="44">
        <v>0</v>
      </c>
      <c r="P31" s="44">
        <v>737086</v>
      </c>
      <c r="Q31" s="42" t="s">
        <v>97</v>
      </c>
      <c r="R31" s="42" t="s">
        <v>97</v>
      </c>
      <c r="S31" s="45">
        <f t="shared" ref="S31:S33" si="4">+P31</f>
        <v>737086</v>
      </c>
      <c r="T31" s="84" t="s">
        <v>96</v>
      </c>
    </row>
    <row r="32" spans="2:20" ht="15" customHeight="1" x14ac:dyDescent="0.25">
      <c r="B32" s="39" t="s">
        <v>180</v>
      </c>
      <c r="C32" s="40" t="s">
        <v>181</v>
      </c>
      <c r="D32" s="41" t="s">
        <v>56</v>
      </c>
      <c r="E32" s="39" t="s">
        <v>75</v>
      </c>
      <c r="F32" s="39" t="s">
        <v>76</v>
      </c>
      <c r="G32" s="42" t="s">
        <v>182</v>
      </c>
      <c r="H32" s="39" t="s">
        <v>183</v>
      </c>
      <c r="I32" s="43">
        <v>46154.69703703704</v>
      </c>
      <c r="J32" s="43">
        <v>46154.718171296299</v>
      </c>
      <c r="K32" s="44">
        <v>265000</v>
      </c>
      <c r="L32" s="44">
        <v>0</v>
      </c>
      <c r="M32" s="44">
        <v>0</v>
      </c>
      <c r="N32" s="44">
        <v>50350</v>
      </c>
      <c r="O32" s="44">
        <v>0</v>
      </c>
      <c r="P32" s="44">
        <v>315350</v>
      </c>
      <c r="Q32" s="42" t="s">
        <v>97</v>
      </c>
      <c r="R32" s="42" t="s">
        <v>97</v>
      </c>
      <c r="S32" s="45">
        <f t="shared" si="4"/>
        <v>315350</v>
      </c>
      <c r="T32" s="84" t="s">
        <v>96</v>
      </c>
    </row>
    <row r="33" spans="2:22" ht="15" customHeight="1" x14ac:dyDescent="0.25">
      <c r="B33" s="39" t="s">
        <v>184</v>
      </c>
      <c r="C33" s="40" t="s">
        <v>185</v>
      </c>
      <c r="D33" s="41" t="s">
        <v>56</v>
      </c>
      <c r="E33" s="39" t="s">
        <v>75</v>
      </c>
      <c r="F33" s="39" t="s">
        <v>76</v>
      </c>
      <c r="G33" s="42" t="s">
        <v>186</v>
      </c>
      <c r="H33" s="39" t="s">
        <v>187</v>
      </c>
      <c r="I33" s="43">
        <v>46146.695717592593</v>
      </c>
      <c r="J33" s="43">
        <v>46146.705300925925</v>
      </c>
      <c r="K33" s="44">
        <v>520800</v>
      </c>
      <c r="L33" s="44">
        <v>0</v>
      </c>
      <c r="M33" s="44">
        <v>0</v>
      </c>
      <c r="N33" s="44">
        <v>98952</v>
      </c>
      <c r="O33" s="44">
        <v>0</v>
      </c>
      <c r="P33" s="44">
        <v>619752</v>
      </c>
      <c r="Q33" s="42" t="s">
        <v>97</v>
      </c>
      <c r="R33" s="42" t="s">
        <v>97</v>
      </c>
      <c r="S33" s="45">
        <f t="shared" si="4"/>
        <v>619752</v>
      </c>
      <c r="T33" s="84" t="s">
        <v>96</v>
      </c>
    </row>
    <row r="34" spans="2:22" ht="15" customHeight="1" thickBot="1" x14ac:dyDescent="0.25">
      <c r="B34" s="77" t="s">
        <v>171</v>
      </c>
      <c r="C34" s="49"/>
      <c r="D34" s="49">
        <f>COUNTA(D30:D33)</f>
        <v>4</v>
      </c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78"/>
      <c r="Q34" s="49"/>
      <c r="R34" s="49"/>
      <c r="S34" s="87">
        <f>SUM(S30:S33)</f>
        <v>3337854.8</v>
      </c>
      <c r="T34" s="85"/>
    </row>
    <row r="35" spans="2:22" ht="13.5" thickBot="1" x14ac:dyDescent="0.25">
      <c r="B35" s="79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1"/>
      <c r="Q35" s="80"/>
      <c r="R35" s="80"/>
      <c r="S35" s="81"/>
      <c r="T35" s="86"/>
    </row>
    <row r="36" spans="2:22" ht="13.5" thickBot="1" x14ac:dyDescent="0.25">
      <c r="B36" s="77" t="s">
        <v>57</v>
      </c>
      <c r="C36" s="49"/>
      <c r="D36" s="49">
        <f>+D8+D15+D19+D29+D34</f>
        <v>27</v>
      </c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88">
        <f>+S8+S15+S19+S29+S34</f>
        <v>295463486.59000003</v>
      </c>
      <c r="T36" s="85">
        <f>COUNTIF(T3:T14,"Publicada")</f>
        <v>0</v>
      </c>
      <c r="U36" s="47">
        <f>+S8+S15+S19+S29+S34</f>
        <v>295463486.59000003</v>
      </c>
      <c r="V36" s="48" t="s">
        <v>58</v>
      </c>
    </row>
    <row r="37" spans="2:22" x14ac:dyDescent="0.2">
      <c r="U37" s="47">
        <f>+D8+D15+D19+D29+D34</f>
        <v>27</v>
      </c>
      <c r="V37" s="48" t="s">
        <v>58</v>
      </c>
    </row>
    <row r="39" spans="2:22" x14ac:dyDescent="0.2">
      <c r="U39" s="7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3502B-D1A7-48FB-A78C-5C9D448BACD1}">
  <dimension ref="B1:AO6"/>
  <sheetViews>
    <sheetView zoomScale="80" zoomScaleNormal="80" workbookViewId="0">
      <selection activeCell="D2" sqref="D2:D5"/>
    </sheetView>
  </sheetViews>
  <sheetFormatPr baseColWidth="10" defaultColWidth="11.42578125" defaultRowHeight="15" x14ac:dyDescent="0.25"/>
  <cols>
    <col min="1" max="1" width="2.42578125" customWidth="1"/>
    <col min="2" max="2" width="17.5703125" customWidth="1"/>
    <col min="3" max="3" width="23.42578125" customWidth="1"/>
    <col min="4" max="4" width="17.140625" customWidth="1"/>
    <col min="5" max="5" width="12.140625" customWidth="1"/>
    <col min="6" max="6" width="17.42578125" customWidth="1"/>
    <col min="7" max="7" width="18.85546875" customWidth="1"/>
    <col min="8" max="8" width="16.85546875" customWidth="1"/>
    <col min="9" max="9" width="18.28515625" customWidth="1"/>
    <col min="10" max="10" width="20.7109375" customWidth="1"/>
    <col min="11" max="11" width="13" customWidth="1"/>
    <col min="12" max="12" width="13.42578125" customWidth="1"/>
    <col min="13" max="13" width="8.5703125" customWidth="1"/>
    <col min="14" max="14" width="13.5703125" customWidth="1"/>
    <col min="15" max="15" width="10" customWidth="1"/>
    <col min="16" max="16" width="13.5703125" bestFit="1" customWidth="1"/>
    <col min="19" max="19" width="14.140625" customWidth="1"/>
  </cols>
  <sheetData>
    <row r="1" spans="2:41" s="91" customFormat="1" ht="27" customHeight="1" x14ac:dyDescent="0.25">
      <c r="B1" s="89" t="s">
        <v>2</v>
      </c>
      <c r="C1" s="89" t="s">
        <v>3</v>
      </c>
      <c r="D1" s="89" t="s">
        <v>4</v>
      </c>
      <c r="E1" s="89" t="s">
        <v>5</v>
      </c>
      <c r="F1" s="89" t="s">
        <v>22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50</v>
      </c>
      <c r="R1" s="89" t="s">
        <v>51</v>
      </c>
      <c r="S1" s="89" t="s">
        <v>52</v>
      </c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</row>
    <row r="2" spans="2:41" ht="17.25" customHeight="1" x14ac:dyDescent="0.25">
      <c r="B2" s="39" t="s">
        <v>172</v>
      </c>
      <c r="C2" s="40" t="s">
        <v>173</v>
      </c>
      <c r="D2" s="41" t="s">
        <v>56</v>
      </c>
      <c r="E2" s="39" t="s">
        <v>75</v>
      </c>
      <c r="F2" s="39" t="s">
        <v>76</v>
      </c>
      <c r="G2" s="42" t="s">
        <v>174</v>
      </c>
      <c r="H2" s="39" t="s">
        <v>175</v>
      </c>
      <c r="I2" s="43">
        <v>46167.514178240737</v>
      </c>
      <c r="J2" s="43">
        <v>46167.533773148149</v>
      </c>
      <c r="K2" s="44">
        <v>1399720</v>
      </c>
      <c r="L2" s="44">
        <v>0</v>
      </c>
      <c r="M2" s="44">
        <v>0</v>
      </c>
      <c r="N2" s="44">
        <v>265946.8</v>
      </c>
      <c r="O2" s="44">
        <v>0</v>
      </c>
      <c r="P2" s="44">
        <v>1665666.8</v>
      </c>
      <c r="Q2" s="42" t="s">
        <v>97</v>
      </c>
      <c r="R2" s="42" t="s">
        <v>97</v>
      </c>
      <c r="S2" s="45">
        <f>+P2</f>
        <v>1665666.8</v>
      </c>
    </row>
    <row r="3" spans="2:41" ht="17.25" customHeight="1" x14ac:dyDescent="0.25">
      <c r="B3" s="39" t="s">
        <v>176</v>
      </c>
      <c r="C3" s="40" t="s">
        <v>177</v>
      </c>
      <c r="D3" s="41" t="s">
        <v>56</v>
      </c>
      <c r="E3" s="39" t="s">
        <v>75</v>
      </c>
      <c r="F3" s="39" t="s">
        <v>76</v>
      </c>
      <c r="G3" s="42" t="s">
        <v>178</v>
      </c>
      <c r="H3" s="39" t="s">
        <v>179</v>
      </c>
      <c r="I3" s="43">
        <v>46156.399247685185</v>
      </c>
      <c r="J3" s="43">
        <v>46156.415520833332</v>
      </c>
      <c r="K3" s="44">
        <v>619400</v>
      </c>
      <c r="L3" s="44">
        <v>0</v>
      </c>
      <c r="M3" s="44">
        <v>0</v>
      </c>
      <c r="N3" s="44">
        <v>117686</v>
      </c>
      <c r="O3" s="44">
        <v>0</v>
      </c>
      <c r="P3" s="44">
        <v>737086</v>
      </c>
      <c r="Q3" s="42" t="s">
        <v>97</v>
      </c>
      <c r="R3" s="42" t="s">
        <v>97</v>
      </c>
      <c r="S3" s="45">
        <f t="shared" ref="S3:S5" si="0">+P3</f>
        <v>737086</v>
      </c>
    </row>
    <row r="4" spans="2:41" ht="17.25" customHeight="1" x14ac:dyDescent="0.25">
      <c r="B4" s="39" t="s">
        <v>180</v>
      </c>
      <c r="C4" s="40" t="s">
        <v>181</v>
      </c>
      <c r="D4" s="41" t="s">
        <v>56</v>
      </c>
      <c r="E4" s="39" t="s">
        <v>75</v>
      </c>
      <c r="F4" s="39" t="s">
        <v>76</v>
      </c>
      <c r="G4" s="42" t="s">
        <v>182</v>
      </c>
      <c r="H4" s="39" t="s">
        <v>183</v>
      </c>
      <c r="I4" s="43">
        <v>46154.69703703704</v>
      </c>
      <c r="J4" s="43">
        <v>46154.718171296299</v>
      </c>
      <c r="K4" s="44">
        <v>265000</v>
      </c>
      <c r="L4" s="44">
        <v>0</v>
      </c>
      <c r="M4" s="44">
        <v>0</v>
      </c>
      <c r="N4" s="44">
        <v>50350</v>
      </c>
      <c r="O4" s="44">
        <v>0</v>
      </c>
      <c r="P4" s="44">
        <v>315350</v>
      </c>
      <c r="Q4" s="42" t="s">
        <v>97</v>
      </c>
      <c r="R4" s="42" t="s">
        <v>97</v>
      </c>
      <c r="S4" s="45">
        <f t="shared" si="0"/>
        <v>315350</v>
      </c>
    </row>
    <row r="5" spans="2:41" ht="17.25" customHeight="1" x14ac:dyDescent="0.25">
      <c r="B5" s="39" t="s">
        <v>184</v>
      </c>
      <c r="C5" s="40" t="s">
        <v>185</v>
      </c>
      <c r="D5" s="41" t="s">
        <v>56</v>
      </c>
      <c r="E5" s="39" t="s">
        <v>75</v>
      </c>
      <c r="F5" s="39" t="s">
        <v>76</v>
      </c>
      <c r="G5" s="42" t="s">
        <v>186</v>
      </c>
      <c r="H5" s="39" t="s">
        <v>187</v>
      </c>
      <c r="I5" s="43">
        <v>46146.695717592593</v>
      </c>
      <c r="J5" s="43">
        <v>46146.705300925925</v>
      </c>
      <c r="K5" s="44">
        <v>520800</v>
      </c>
      <c r="L5" s="44">
        <v>0</v>
      </c>
      <c r="M5" s="44">
        <v>0</v>
      </c>
      <c r="N5" s="44">
        <v>98952</v>
      </c>
      <c r="O5" s="44">
        <v>0</v>
      </c>
      <c r="P5" s="44">
        <v>619752</v>
      </c>
      <c r="Q5" s="42" t="s">
        <v>97</v>
      </c>
      <c r="R5" s="42" t="s">
        <v>97</v>
      </c>
      <c r="S5" s="45">
        <f t="shared" si="0"/>
        <v>619752</v>
      </c>
    </row>
    <row r="6" spans="2:41" ht="15.75" thickBot="1" x14ac:dyDescent="0.3">
      <c r="B6" s="30" t="s">
        <v>171</v>
      </c>
      <c r="C6" s="29"/>
      <c r="D6" s="56">
        <f>COUNTA(D2:D5)</f>
        <v>4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31"/>
      <c r="Q6" s="29"/>
      <c r="R6" s="29"/>
      <c r="S6" s="55">
        <f>SUM(S2:S5)</f>
        <v>3337854.8</v>
      </c>
    </row>
  </sheetData>
  <pageMargins left="0.7" right="0.7" top="0.75" bottom="0.75" header="0.3" footer="0.3"/>
  <pageSetup paperSize="2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FB6B-4621-45E4-A1EA-EFBC909F41AE}">
  <dimension ref="B1:AO11"/>
  <sheetViews>
    <sheetView zoomScale="80" zoomScaleNormal="80" workbookViewId="0">
      <selection activeCell="D2" sqref="D2"/>
    </sheetView>
  </sheetViews>
  <sheetFormatPr baseColWidth="10" defaultColWidth="11.42578125" defaultRowHeight="15" x14ac:dyDescent="0.25"/>
  <cols>
    <col min="1" max="1" width="2.42578125" customWidth="1"/>
    <col min="2" max="2" width="17.5703125" customWidth="1"/>
    <col min="3" max="3" width="23.42578125" customWidth="1"/>
    <col min="4" max="4" width="17.140625" customWidth="1"/>
    <col min="5" max="5" width="12.140625" customWidth="1"/>
    <col min="6" max="6" width="17.42578125" customWidth="1"/>
    <col min="7" max="7" width="18.85546875" customWidth="1"/>
    <col min="8" max="8" width="16.85546875" customWidth="1"/>
    <col min="9" max="9" width="18.28515625" customWidth="1"/>
    <col min="10" max="10" width="20.7109375" customWidth="1"/>
    <col min="11" max="11" width="13" customWidth="1"/>
    <col min="12" max="12" width="13.42578125" customWidth="1"/>
    <col min="13" max="13" width="8.5703125" customWidth="1"/>
    <col min="14" max="14" width="13.5703125" customWidth="1"/>
    <col min="15" max="15" width="10" customWidth="1"/>
    <col min="16" max="16" width="13.5703125" bestFit="1" customWidth="1"/>
    <col min="19" max="19" width="14.140625" customWidth="1"/>
  </cols>
  <sheetData>
    <row r="1" spans="2:41" s="91" customFormat="1" ht="27" customHeight="1" x14ac:dyDescent="0.25">
      <c r="B1" s="89" t="s">
        <v>2</v>
      </c>
      <c r="C1" s="89" t="s">
        <v>3</v>
      </c>
      <c r="D1" s="89" t="s">
        <v>4</v>
      </c>
      <c r="E1" s="89" t="s">
        <v>5</v>
      </c>
      <c r="F1" s="89" t="s">
        <v>22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50</v>
      </c>
      <c r="R1" s="89" t="s">
        <v>51</v>
      </c>
      <c r="S1" s="89" t="s">
        <v>52</v>
      </c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</row>
    <row r="2" spans="2:41" ht="17.25" customHeight="1" x14ac:dyDescent="0.25">
      <c r="B2" s="39" t="s">
        <v>137</v>
      </c>
      <c r="C2" s="40" t="s">
        <v>138</v>
      </c>
      <c r="D2" s="41" t="s">
        <v>56</v>
      </c>
      <c r="E2" s="39" t="s">
        <v>75</v>
      </c>
      <c r="F2" s="39" t="s">
        <v>76</v>
      </c>
      <c r="G2" s="42" t="s">
        <v>139</v>
      </c>
      <c r="H2" s="39" t="s">
        <v>140</v>
      </c>
      <c r="I2" s="43">
        <v>46139.460231481484</v>
      </c>
      <c r="J2" s="43">
        <v>46139.468182870369</v>
      </c>
      <c r="K2" s="44">
        <v>3960000</v>
      </c>
      <c r="L2" s="44">
        <v>0</v>
      </c>
      <c r="M2" s="44">
        <v>0</v>
      </c>
      <c r="N2" s="44">
        <v>0</v>
      </c>
      <c r="O2" s="44">
        <v>0</v>
      </c>
      <c r="P2" s="44">
        <v>3960000</v>
      </c>
      <c r="Q2" s="42" t="s">
        <v>97</v>
      </c>
      <c r="R2" s="42" t="s">
        <v>97</v>
      </c>
      <c r="S2" s="45">
        <f>+P2</f>
        <v>3960000</v>
      </c>
    </row>
    <row r="3" spans="2:41" ht="17.25" customHeight="1" x14ac:dyDescent="0.25">
      <c r="B3" s="39" t="s">
        <v>141</v>
      </c>
      <c r="C3" s="40" t="s">
        <v>142</v>
      </c>
      <c r="D3" s="41" t="s">
        <v>56</v>
      </c>
      <c r="E3" s="39" t="s">
        <v>75</v>
      </c>
      <c r="F3" s="39" t="s">
        <v>76</v>
      </c>
      <c r="G3" s="42" t="s">
        <v>81</v>
      </c>
      <c r="H3" s="39" t="s">
        <v>82</v>
      </c>
      <c r="I3" s="43">
        <v>46139.402094907404</v>
      </c>
      <c r="J3" s="43">
        <v>46139.412175925929</v>
      </c>
      <c r="K3" s="44">
        <v>1597474</v>
      </c>
      <c r="L3" s="44">
        <v>0</v>
      </c>
      <c r="M3" s="44">
        <v>0</v>
      </c>
      <c r="N3" s="44">
        <v>303520.06</v>
      </c>
      <c r="O3" s="44">
        <v>0</v>
      </c>
      <c r="P3" s="44">
        <v>1900994.06</v>
      </c>
      <c r="Q3" s="42" t="s">
        <v>97</v>
      </c>
      <c r="R3" s="42" t="s">
        <v>97</v>
      </c>
      <c r="S3" s="45">
        <f t="shared" ref="S3:S10" si="0">+P3</f>
        <v>1900994.06</v>
      </c>
    </row>
    <row r="4" spans="2:41" ht="17.25" customHeight="1" x14ac:dyDescent="0.25">
      <c r="B4" s="39" t="s">
        <v>143</v>
      </c>
      <c r="C4" s="40" t="s">
        <v>144</v>
      </c>
      <c r="D4" s="41" t="s">
        <v>56</v>
      </c>
      <c r="E4" s="39" t="s">
        <v>75</v>
      </c>
      <c r="F4" s="39" t="s">
        <v>76</v>
      </c>
      <c r="G4" s="42" t="s">
        <v>81</v>
      </c>
      <c r="H4" s="39" t="s">
        <v>82</v>
      </c>
      <c r="I4" s="43">
        <v>46135.68608796296</v>
      </c>
      <c r="J4" s="43">
        <v>46135.692650462966</v>
      </c>
      <c r="K4" s="44">
        <v>2173138</v>
      </c>
      <c r="L4" s="44">
        <v>0</v>
      </c>
      <c r="M4" s="44">
        <v>0</v>
      </c>
      <c r="N4" s="44">
        <v>412896.22</v>
      </c>
      <c r="O4" s="44">
        <v>0</v>
      </c>
      <c r="P4" s="44">
        <v>2586034.2200000002</v>
      </c>
      <c r="Q4" s="42" t="s">
        <v>97</v>
      </c>
      <c r="R4" s="42" t="s">
        <v>97</v>
      </c>
      <c r="S4" s="45">
        <f t="shared" si="0"/>
        <v>2586034.2200000002</v>
      </c>
    </row>
    <row r="5" spans="2:41" ht="17.25" customHeight="1" x14ac:dyDescent="0.25">
      <c r="B5" s="39" t="s">
        <v>145</v>
      </c>
      <c r="C5" s="40" t="s">
        <v>146</v>
      </c>
      <c r="D5" s="41" t="s">
        <v>56</v>
      </c>
      <c r="E5" s="39" t="s">
        <v>75</v>
      </c>
      <c r="F5" s="39" t="s">
        <v>76</v>
      </c>
      <c r="G5" s="42" t="s">
        <v>147</v>
      </c>
      <c r="H5" s="39" t="s">
        <v>148</v>
      </c>
      <c r="I5" s="43">
        <v>46121.504907407405</v>
      </c>
      <c r="J5" s="43">
        <v>46121.528564814813</v>
      </c>
      <c r="K5" s="44">
        <v>572666</v>
      </c>
      <c r="L5" s="44">
        <v>0</v>
      </c>
      <c r="M5" s="44">
        <v>25000</v>
      </c>
      <c r="N5" s="44">
        <v>113556.54</v>
      </c>
      <c r="O5" s="44">
        <v>0</v>
      </c>
      <c r="P5" s="44">
        <v>711222.54</v>
      </c>
      <c r="Q5" s="42" t="s">
        <v>97</v>
      </c>
      <c r="R5" s="42" t="s">
        <v>97</v>
      </c>
      <c r="S5" s="45">
        <f t="shared" si="0"/>
        <v>711222.54</v>
      </c>
    </row>
    <row r="6" spans="2:41" ht="17.25" customHeight="1" x14ac:dyDescent="0.25">
      <c r="B6" s="39" t="s">
        <v>149</v>
      </c>
      <c r="C6" s="40" t="s">
        <v>150</v>
      </c>
      <c r="D6" s="41" t="s">
        <v>56</v>
      </c>
      <c r="E6" s="39" t="s">
        <v>75</v>
      </c>
      <c r="F6" s="39" t="s">
        <v>76</v>
      </c>
      <c r="G6" s="42" t="s">
        <v>151</v>
      </c>
      <c r="H6" s="39" t="s">
        <v>152</v>
      </c>
      <c r="I6" s="43">
        <v>46120.643622685187</v>
      </c>
      <c r="J6" s="43">
        <v>46120.662627314814</v>
      </c>
      <c r="K6" s="44">
        <v>546219</v>
      </c>
      <c r="L6" s="44">
        <v>0</v>
      </c>
      <c r="M6" s="44">
        <v>0</v>
      </c>
      <c r="N6" s="44">
        <v>103781.61</v>
      </c>
      <c r="O6" s="44">
        <v>0</v>
      </c>
      <c r="P6" s="44">
        <v>650000.61</v>
      </c>
      <c r="Q6" s="42" t="s">
        <v>97</v>
      </c>
      <c r="R6" s="42" t="s">
        <v>97</v>
      </c>
      <c r="S6" s="45">
        <f t="shared" si="0"/>
        <v>650000.61</v>
      </c>
    </row>
    <row r="7" spans="2:41" ht="17.25" customHeight="1" x14ac:dyDescent="0.25">
      <c r="B7" s="39" t="s">
        <v>153</v>
      </c>
      <c r="C7" s="40" t="s">
        <v>154</v>
      </c>
      <c r="D7" s="41" t="s">
        <v>56</v>
      </c>
      <c r="E7" s="39" t="s">
        <v>75</v>
      </c>
      <c r="F7" s="39" t="s">
        <v>76</v>
      </c>
      <c r="G7" s="42" t="s">
        <v>155</v>
      </c>
      <c r="H7" s="39" t="s">
        <v>156</v>
      </c>
      <c r="I7" s="43">
        <v>46118.721296296295</v>
      </c>
      <c r="J7" s="43">
        <v>46118.726446759261</v>
      </c>
      <c r="K7" s="44">
        <v>705740</v>
      </c>
      <c r="L7" s="44">
        <v>0</v>
      </c>
      <c r="M7" s="44">
        <v>0</v>
      </c>
      <c r="N7" s="44">
        <v>134090.6</v>
      </c>
      <c r="O7" s="44">
        <v>0</v>
      </c>
      <c r="P7" s="44">
        <v>839830.6</v>
      </c>
      <c r="Q7" s="42" t="s">
        <v>97</v>
      </c>
      <c r="R7" s="42" t="s">
        <v>97</v>
      </c>
      <c r="S7" s="45">
        <f t="shared" si="0"/>
        <v>839830.6</v>
      </c>
    </row>
    <row r="8" spans="2:41" ht="17.25" customHeight="1" x14ac:dyDescent="0.25">
      <c r="B8" s="39" t="s">
        <v>157</v>
      </c>
      <c r="C8" s="40" t="s">
        <v>158</v>
      </c>
      <c r="D8" s="41" t="s">
        <v>56</v>
      </c>
      <c r="E8" s="39" t="s">
        <v>159</v>
      </c>
      <c r="F8" s="39" t="s">
        <v>76</v>
      </c>
      <c r="G8" s="42" t="s">
        <v>160</v>
      </c>
      <c r="H8" s="39" t="s">
        <v>161</v>
      </c>
      <c r="I8" s="43">
        <v>46118.445138888892</v>
      </c>
      <c r="J8" s="43">
        <v>46118.453229166669</v>
      </c>
      <c r="K8" s="44">
        <v>1890777</v>
      </c>
      <c r="L8" s="44">
        <v>0</v>
      </c>
      <c r="M8" s="44">
        <v>0</v>
      </c>
      <c r="N8" s="44">
        <v>359247.63</v>
      </c>
      <c r="O8" s="44">
        <v>0</v>
      </c>
      <c r="P8" s="44">
        <v>2250024.63</v>
      </c>
      <c r="Q8" s="42" t="s">
        <v>97</v>
      </c>
      <c r="R8" s="42" t="s">
        <v>97</v>
      </c>
      <c r="S8" s="45">
        <f t="shared" si="0"/>
        <v>2250024.63</v>
      </c>
    </row>
    <row r="9" spans="2:41" ht="17.25" customHeight="1" x14ac:dyDescent="0.25">
      <c r="B9" s="39" t="s">
        <v>162</v>
      </c>
      <c r="C9" s="40" t="s">
        <v>163</v>
      </c>
      <c r="D9" s="41" t="s">
        <v>56</v>
      </c>
      <c r="E9" s="39" t="s">
        <v>75</v>
      </c>
      <c r="F9" s="39" t="s">
        <v>76</v>
      </c>
      <c r="G9" s="42" t="s">
        <v>164</v>
      </c>
      <c r="H9" s="39" t="s">
        <v>165</v>
      </c>
      <c r="I9" s="43">
        <v>46114.516840277778</v>
      </c>
      <c r="J9" s="43">
        <v>46114.558692129627</v>
      </c>
      <c r="K9" s="44">
        <v>702000</v>
      </c>
      <c r="L9" s="44">
        <v>0</v>
      </c>
      <c r="M9" s="44">
        <v>0</v>
      </c>
      <c r="N9" s="44">
        <v>133380</v>
      </c>
      <c r="O9" s="44">
        <v>0</v>
      </c>
      <c r="P9" s="44">
        <v>835380</v>
      </c>
      <c r="Q9" s="42" t="s">
        <v>97</v>
      </c>
      <c r="R9" s="42" t="s">
        <v>97</v>
      </c>
      <c r="S9" s="45">
        <f t="shared" si="0"/>
        <v>835380</v>
      </c>
    </row>
    <row r="10" spans="2:41" ht="17.25" customHeight="1" x14ac:dyDescent="0.25">
      <c r="B10" s="39" t="s">
        <v>166</v>
      </c>
      <c r="C10" s="40" t="s">
        <v>167</v>
      </c>
      <c r="D10" s="41" t="s">
        <v>56</v>
      </c>
      <c r="E10" s="39" t="s">
        <v>75</v>
      </c>
      <c r="F10" s="39" t="s">
        <v>76</v>
      </c>
      <c r="G10" s="42" t="s">
        <v>168</v>
      </c>
      <c r="H10" s="39" t="s">
        <v>169</v>
      </c>
      <c r="I10" s="43">
        <v>46114.513865740744</v>
      </c>
      <c r="J10" s="43">
        <v>46114.54587962963</v>
      </c>
      <c r="K10" s="44">
        <v>2800000</v>
      </c>
      <c r="L10" s="44">
        <v>0</v>
      </c>
      <c r="M10" s="44">
        <v>0</v>
      </c>
      <c r="N10" s="44">
        <v>532000</v>
      </c>
      <c r="O10" s="44">
        <v>0</v>
      </c>
      <c r="P10" s="44">
        <v>3332000</v>
      </c>
      <c r="Q10" s="42" t="s">
        <v>97</v>
      </c>
      <c r="R10" s="42" t="s">
        <v>97</v>
      </c>
      <c r="S10" s="45">
        <f t="shared" si="0"/>
        <v>3332000</v>
      </c>
    </row>
    <row r="11" spans="2:41" ht="15.75" thickBot="1" x14ac:dyDescent="0.3">
      <c r="B11" s="30" t="s">
        <v>136</v>
      </c>
      <c r="C11" s="29"/>
      <c r="D11" s="56">
        <f>COUNTA(D2:D10)</f>
        <v>9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1"/>
      <c r="Q11" s="29"/>
      <c r="R11" s="29"/>
      <c r="S11" s="55">
        <f>SUM(S2:S10)</f>
        <v>17065486.66</v>
      </c>
    </row>
  </sheetData>
  <pageMargins left="0.7" right="0.7" top="0.75" bottom="0.75" header="0.3" footer="0.3"/>
  <pageSetup paperSize="2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33327-051B-4D66-8C2D-C3587AB908D5}">
  <dimension ref="B1:AO5"/>
  <sheetViews>
    <sheetView topLeftCell="E1" zoomScale="80" zoomScaleNormal="80" workbookViewId="0">
      <selection activeCell="B2" sqref="B2"/>
    </sheetView>
  </sheetViews>
  <sheetFormatPr baseColWidth="10" defaultColWidth="11.42578125" defaultRowHeight="15" x14ac:dyDescent="0.25"/>
  <cols>
    <col min="1" max="1" width="2.42578125" customWidth="1"/>
    <col min="2" max="2" width="17.5703125" customWidth="1"/>
    <col min="3" max="3" width="23.42578125" customWidth="1"/>
    <col min="4" max="4" width="17.140625" customWidth="1"/>
    <col min="5" max="5" width="12.140625" customWidth="1"/>
    <col min="6" max="6" width="17.42578125" customWidth="1"/>
    <col min="7" max="7" width="18.85546875" customWidth="1"/>
    <col min="8" max="8" width="16.85546875" customWidth="1"/>
    <col min="9" max="9" width="18.28515625" customWidth="1"/>
    <col min="10" max="10" width="20.7109375" customWidth="1"/>
    <col min="11" max="11" width="13" customWidth="1"/>
    <col min="12" max="12" width="13.42578125" customWidth="1"/>
    <col min="13" max="13" width="8.5703125" customWidth="1"/>
    <col min="14" max="14" width="13.5703125" customWidth="1"/>
    <col min="15" max="15" width="10" customWidth="1"/>
    <col min="16" max="16" width="13.5703125" bestFit="1" customWidth="1"/>
    <col min="19" max="19" width="14.140625" customWidth="1"/>
  </cols>
  <sheetData>
    <row r="1" spans="2:41" s="91" customFormat="1" ht="27" customHeight="1" x14ac:dyDescent="0.25">
      <c r="B1" s="89" t="s">
        <v>2</v>
      </c>
      <c r="C1" s="89" t="s">
        <v>3</v>
      </c>
      <c r="D1" s="89" t="s">
        <v>4</v>
      </c>
      <c r="E1" s="89" t="s">
        <v>5</v>
      </c>
      <c r="F1" s="89" t="s">
        <v>22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50</v>
      </c>
      <c r="R1" s="89" t="s">
        <v>51</v>
      </c>
      <c r="S1" s="89" t="s">
        <v>52</v>
      </c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</row>
    <row r="2" spans="2:41" ht="17.25" customHeight="1" x14ac:dyDescent="0.25">
      <c r="B2" s="39" t="s">
        <v>123</v>
      </c>
      <c r="C2" s="40" t="s">
        <v>124</v>
      </c>
      <c r="D2" s="41" t="s">
        <v>0</v>
      </c>
      <c r="E2" s="39" t="s">
        <v>75</v>
      </c>
      <c r="F2" s="39" t="s">
        <v>76</v>
      </c>
      <c r="G2" s="42" t="s">
        <v>125</v>
      </c>
      <c r="H2" s="39" t="s">
        <v>126</v>
      </c>
      <c r="I2" s="43">
        <v>46104.440555555557</v>
      </c>
      <c r="J2" s="43">
        <v>46104.474374999998</v>
      </c>
      <c r="K2" s="44">
        <v>25210084</v>
      </c>
      <c r="L2" s="44">
        <v>0</v>
      </c>
      <c r="M2" s="44">
        <v>0</v>
      </c>
      <c r="N2" s="44">
        <v>4789915.96</v>
      </c>
      <c r="O2" s="44">
        <v>0</v>
      </c>
      <c r="P2" s="44">
        <v>29999999.960000001</v>
      </c>
      <c r="Q2" s="42" t="s">
        <v>97</v>
      </c>
      <c r="R2" s="42" t="s">
        <v>97</v>
      </c>
      <c r="S2" s="45">
        <f>+P2</f>
        <v>29999999.960000001</v>
      </c>
    </row>
    <row r="3" spans="2:41" ht="17.25" customHeight="1" x14ac:dyDescent="0.25">
      <c r="B3" s="39" t="s">
        <v>127</v>
      </c>
      <c r="C3" s="40" t="s">
        <v>128</v>
      </c>
      <c r="D3" s="41" t="s">
        <v>56</v>
      </c>
      <c r="E3" s="39" t="s">
        <v>75</v>
      </c>
      <c r="F3" s="39" t="s">
        <v>76</v>
      </c>
      <c r="G3" s="42" t="s">
        <v>129</v>
      </c>
      <c r="H3" s="39" t="s">
        <v>130</v>
      </c>
      <c r="I3" s="43">
        <v>46093.477164351854</v>
      </c>
      <c r="J3" s="43">
        <v>46093.491770833331</v>
      </c>
      <c r="K3" s="44">
        <v>384000</v>
      </c>
      <c r="L3" s="44">
        <v>0</v>
      </c>
      <c r="M3" s="44">
        <v>0</v>
      </c>
      <c r="N3" s="44">
        <v>72960</v>
      </c>
      <c r="O3" s="44">
        <v>0</v>
      </c>
      <c r="P3" s="44">
        <v>456960</v>
      </c>
      <c r="Q3" s="42" t="s">
        <v>97</v>
      </c>
      <c r="R3" s="42" t="s">
        <v>97</v>
      </c>
      <c r="S3" s="45">
        <f t="shared" ref="S3:S4" si="0">+P3</f>
        <v>456960</v>
      </c>
    </row>
    <row r="4" spans="2:41" ht="17.25" customHeight="1" x14ac:dyDescent="0.25">
      <c r="B4" s="39" t="s">
        <v>131</v>
      </c>
      <c r="C4" s="40" t="s">
        <v>132</v>
      </c>
      <c r="D4" s="41" t="s">
        <v>56</v>
      </c>
      <c r="E4" s="39" t="s">
        <v>75</v>
      </c>
      <c r="F4" s="39" t="s">
        <v>76</v>
      </c>
      <c r="G4" s="42" t="s">
        <v>133</v>
      </c>
      <c r="H4" s="39" t="s">
        <v>134</v>
      </c>
      <c r="I4" s="43">
        <v>46085.541030092594</v>
      </c>
      <c r="J4" s="43">
        <v>46085.551157407404</v>
      </c>
      <c r="K4" s="44">
        <v>416500</v>
      </c>
      <c r="L4" s="44">
        <v>0</v>
      </c>
      <c r="M4" s="44">
        <v>0</v>
      </c>
      <c r="N4" s="44">
        <v>79135</v>
      </c>
      <c r="O4" s="44">
        <v>0</v>
      </c>
      <c r="P4" s="44">
        <v>495635</v>
      </c>
      <c r="Q4" s="42" t="s">
        <v>97</v>
      </c>
      <c r="R4" s="42" t="s">
        <v>97</v>
      </c>
      <c r="S4" s="45">
        <f t="shared" si="0"/>
        <v>495635</v>
      </c>
    </row>
    <row r="5" spans="2:41" ht="15.75" thickBot="1" x14ac:dyDescent="0.3">
      <c r="B5" s="30" t="s">
        <v>122</v>
      </c>
      <c r="C5" s="29"/>
      <c r="D5" s="56">
        <f>COUNTA(D2:D4)</f>
        <v>3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1"/>
      <c r="Q5" s="29"/>
      <c r="R5" s="29"/>
      <c r="S5" s="55">
        <f>SUM(S2:S4)</f>
        <v>30952594.960000001</v>
      </c>
    </row>
  </sheetData>
  <pageMargins left="0.7" right="0.7" top="0.75" bottom="0.75" header="0.3" footer="0.3"/>
  <pageSetup paperSize="2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C8BA4-60B9-4D64-8A71-CE1F24A1C349}">
  <dimension ref="B1:AO8"/>
  <sheetViews>
    <sheetView topLeftCell="D1" zoomScale="80" zoomScaleNormal="80" workbookViewId="0">
      <selection activeCell="S13" sqref="S13"/>
    </sheetView>
  </sheetViews>
  <sheetFormatPr baseColWidth="10" defaultColWidth="11.42578125" defaultRowHeight="15" x14ac:dyDescent="0.25"/>
  <cols>
    <col min="1" max="1" width="2.42578125" customWidth="1"/>
    <col min="2" max="2" width="17.5703125" customWidth="1"/>
    <col min="3" max="3" width="23.42578125" customWidth="1"/>
    <col min="4" max="4" width="17.140625" customWidth="1"/>
    <col min="5" max="5" width="12.140625" customWidth="1"/>
    <col min="6" max="6" width="17.42578125" customWidth="1"/>
    <col min="7" max="7" width="18.85546875" customWidth="1"/>
    <col min="8" max="8" width="16.85546875" customWidth="1"/>
    <col min="9" max="9" width="18.28515625" customWidth="1"/>
    <col min="10" max="10" width="20.7109375" customWidth="1"/>
    <col min="11" max="11" width="13" customWidth="1"/>
    <col min="12" max="12" width="13.42578125" customWidth="1"/>
    <col min="13" max="13" width="8.5703125" customWidth="1"/>
    <col min="14" max="14" width="13.5703125" customWidth="1"/>
    <col min="15" max="15" width="10" customWidth="1"/>
    <col min="16" max="16" width="13.5703125" bestFit="1" customWidth="1"/>
    <col min="19" max="19" width="14.140625" customWidth="1"/>
  </cols>
  <sheetData>
    <row r="1" spans="2:41" s="91" customFormat="1" ht="27" customHeight="1" x14ac:dyDescent="0.25">
      <c r="B1" s="89" t="s">
        <v>2</v>
      </c>
      <c r="C1" s="89" t="s">
        <v>3</v>
      </c>
      <c r="D1" s="89" t="s">
        <v>4</v>
      </c>
      <c r="E1" s="89" t="s">
        <v>5</v>
      </c>
      <c r="F1" s="89" t="s">
        <v>22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50</v>
      </c>
      <c r="R1" s="89" t="s">
        <v>51</v>
      </c>
      <c r="S1" s="89" t="s">
        <v>52</v>
      </c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</row>
    <row r="2" spans="2:41" ht="17.25" customHeight="1" x14ac:dyDescent="0.25">
      <c r="B2" s="39" t="s">
        <v>100</v>
      </c>
      <c r="C2" s="40" t="s">
        <v>101</v>
      </c>
      <c r="D2" s="41" t="s">
        <v>56</v>
      </c>
      <c r="E2" s="39" t="s">
        <v>75</v>
      </c>
      <c r="F2" s="39" t="s">
        <v>76</v>
      </c>
      <c r="G2" s="42" t="s">
        <v>102</v>
      </c>
      <c r="H2" s="39" t="s">
        <v>103</v>
      </c>
      <c r="I2" s="43">
        <v>46072.550266203703</v>
      </c>
      <c r="J2" s="43">
        <v>46072.580358796295</v>
      </c>
      <c r="K2" s="44">
        <v>1206320</v>
      </c>
      <c r="L2" s="44">
        <v>0</v>
      </c>
      <c r="M2" s="44">
        <v>0</v>
      </c>
      <c r="N2" s="44">
        <v>229200.8</v>
      </c>
      <c r="O2" s="44">
        <v>0</v>
      </c>
      <c r="P2" s="44">
        <v>1435521</v>
      </c>
      <c r="Q2" s="42" t="s">
        <v>97</v>
      </c>
      <c r="R2" s="42" t="s">
        <v>97</v>
      </c>
      <c r="S2" s="45">
        <f>+P2</f>
        <v>1435521</v>
      </c>
    </row>
    <row r="3" spans="2:41" ht="17.25" customHeight="1" x14ac:dyDescent="0.25">
      <c r="B3" s="39" t="s">
        <v>104</v>
      </c>
      <c r="C3" s="40" t="s">
        <v>105</v>
      </c>
      <c r="D3" s="41" t="s">
        <v>56</v>
      </c>
      <c r="E3" s="39" t="s">
        <v>75</v>
      </c>
      <c r="F3" s="39" t="s">
        <v>76</v>
      </c>
      <c r="G3" s="42" t="s">
        <v>106</v>
      </c>
      <c r="H3" s="39" t="s">
        <v>107</v>
      </c>
      <c r="I3" s="43">
        <v>46070.45826388889</v>
      </c>
      <c r="J3" s="43">
        <v>46070.464826388888</v>
      </c>
      <c r="K3" s="44">
        <v>1294000</v>
      </c>
      <c r="L3" s="44">
        <v>0</v>
      </c>
      <c r="M3" s="44">
        <v>0</v>
      </c>
      <c r="N3" s="44">
        <v>245860</v>
      </c>
      <c r="O3" s="44">
        <v>0</v>
      </c>
      <c r="P3" s="44">
        <v>1539860</v>
      </c>
      <c r="Q3" s="42" t="s">
        <v>97</v>
      </c>
      <c r="R3" s="42" t="s">
        <v>97</v>
      </c>
      <c r="S3" s="45">
        <f t="shared" ref="S3:S6" si="0">+P3</f>
        <v>1539860</v>
      </c>
    </row>
    <row r="4" spans="2:41" ht="17.25" customHeight="1" x14ac:dyDescent="0.25">
      <c r="B4" s="39" t="s">
        <v>108</v>
      </c>
      <c r="C4" s="40" t="s">
        <v>109</v>
      </c>
      <c r="D4" s="41" t="s">
        <v>54</v>
      </c>
      <c r="E4" s="39" t="s">
        <v>75</v>
      </c>
      <c r="F4" s="39" t="s">
        <v>76</v>
      </c>
      <c r="G4" s="42" t="s">
        <v>110</v>
      </c>
      <c r="H4" s="39" t="s">
        <v>111</v>
      </c>
      <c r="I4" s="43">
        <v>46070.418009259258</v>
      </c>
      <c r="J4" s="43">
        <v>46070.447210648148</v>
      </c>
      <c r="K4" s="44">
        <v>53191</v>
      </c>
      <c r="L4" s="44">
        <v>0</v>
      </c>
      <c r="M4" s="44">
        <v>7814</v>
      </c>
      <c r="N4" s="44">
        <v>0</v>
      </c>
      <c r="O4" s="44">
        <v>0</v>
      </c>
      <c r="P4" s="44">
        <v>61005</v>
      </c>
      <c r="Q4" s="42" t="s">
        <v>97</v>
      </c>
      <c r="R4" s="42" t="s">
        <v>97</v>
      </c>
      <c r="S4" s="45">
        <f t="shared" si="0"/>
        <v>61005</v>
      </c>
    </row>
    <row r="5" spans="2:41" ht="17.25" customHeight="1" x14ac:dyDescent="0.25">
      <c r="B5" s="39" t="s">
        <v>112</v>
      </c>
      <c r="C5" s="40" t="s">
        <v>113</v>
      </c>
      <c r="D5" s="41" t="s">
        <v>54</v>
      </c>
      <c r="E5" s="39" t="s">
        <v>75</v>
      </c>
      <c r="F5" s="39" t="s">
        <v>76</v>
      </c>
      <c r="G5" s="42" t="s">
        <v>110</v>
      </c>
      <c r="H5" s="39" t="s">
        <v>111</v>
      </c>
      <c r="I5" s="43">
        <v>46070.415266203701</v>
      </c>
      <c r="J5" s="43">
        <v>46070.446782407409</v>
      </c>
      <c r="K5" s="44">
        <v>45591</v>
      </c>
      <c r="L5" s="44">
        <v>0</v>
      </c>
      <c r="M5" s="44">
        <v>5956</v>
      </c>
      <c r="N5" s="44">
        <v>0</v>
      </c>
      <c r="O5" s="44">
        <v>0</v>
      </c>
      <c r="P5" s="44">
        <v>51547</v>
      </c>
      <c r="Q5" s="42" t="s">
        <v>97</v>
      </c>
      <c r="R5" s="42" t="s">
        <v>97</v>
      </c>
      <c r="S5" s="45">
        <f t="shared" si="0"/>
        <v>51547</v>
      </c>
    </row>
    <row r="6" spans="2:41" ht="17.25" customHeight="1" x14ac:dyDescent="0.25">
      <c r="B6" s="39" t="s">
        <v>114</v>
      </c>
      <c r="C6" s="40" t="s">
        <v>115</v>
      </c>
      <c r="D6" s="41" t="s">
        <v>56</v>
      </c>
      <c r="E6" s="39" t="s">
        <v>75</v>
      </c>
      <c r="F6" s="39" t="s">
        <v>76</v>
      </c>
      <c r="G6" s="42" t="s">
        <v>116</v>
      </c>
      <c r="H6" s="39" t="s">
        <v>117</v>
      </c>
      <c r="I6" s="43">
        <v>46065.395636574074</v>
      </c>
      <c r="J6" s="43">
        <v>46065.516631944447</v>
      </c>
      <c r="K6" s="44">
        <v>457500</v>
      </c>
      <c r="L6" s="44">
        <v>0</v>
      </c>
      <c r="M6" s="44">
        <v>0</v>
      </c>
      <c r="N6" s="44">
        <v>86925</v>
      </c>
      <c r="O6" s="44">
        <v>0</v>
      </c>
      <c r="P6" s="44">
        <v>544425</v>
      </c>
      <c r="Q6" s="42" t="s">
        <v>97</v>
      </c>
      <c r="R6" s="42" t="s">
        <v>97</v>
      </c>
      <c r="S6" s="45">
        <f t="shared" si="0"/>
        <v>544425</v>
      </c>
    </row>
    <row r="7" spans="2:41" ht="17.25" customHeight="1" x14ac:dyDescent="0.25">
      <c r="B7" s="39" t="s">
        <v>118</v>
      </c>
      <c r="C7" s="40" t="s">
        <v>119</v>
      </c>
      <c r="D7" s="41" t="s">
        <v>27</v>
      </c>
      <c r="E7" s="39" t="s">
        <v>75</v>
      </c>
      <c r="F7" s="39" t="s">
        <v>76</v>
      </c>
      <c r="G7" s="42" t="s">
        <v>120</v>
      </c>
      <c r="H7" s="39" t="s">
        <v>121</v>
      </c>
      <c r="I7" s="43">
        <v>46055.544803240744</v>
      </c>
      <c r="J7" s="43">
        <v>46055.570775462962</v>
      </c>
      <c r="K7" s="44">
        <v>198556050</v>
      </c>
      <c r="L7" s="44">
        <v>0</v>
      </c>
      <c r="M7" s="44">
        <v>0</v>
      </c>
      <c r="N7" s="44">
        <v>37725649.5</v>
      </c>
      <c r="O7" s="44">
        <v>0</v>
      </c>
      <c r="P7" s="44">
        <v>236281700</v>
      </c>
      <c r="Q7" s="42" t="s">
        <v>97</v>
      </c>
      <c r="R7" s="42" t="s">
        <v>97</v>
      </c>
      <c r="S7" s="45">
        <f t="shared" ref="S7" si="1">+P7</f>
        <v>236281700</v>
      </c>
    </row>
    <row r="8" spans="2:41" ht="15.75" thickBot="1" x14ac:dyDescent="0.3">
      <c r="B8" s="30" t="s">
        <v>99</v>
      </c>
      <c r="C8" s="29"/>
      <c r="D8" s="56">
        <f>COUNTA(D2:D7)</f>
        <v>6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1"/>
      <c r="Q8" s="29"/>
      <c r="R8" s="29"/>
      <c r="S8" s="55">
        <f>SUM(S2:S7)</f>
        <v>239914058</v>
      </c>
    </row>
  </sheetData>
  <pageMargins left="0.7" right="0.7" top="0.75" bottom="0.75" header="0.3" footer="0.3"/>
  <pageSetup paperSize="2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6DADC-C304-44EE-B64A-11A916A9C735}">
  <dimension ref="B1:AO7"/>
  <sheetViews>
    <sheetView zoomScale="80" zoomScaleNormal="80" workbookViewId="0">
      <selection activeCell="F5" sqref="F5"/>
    </sheetView>
  </sheetViews>
  <sheetFormatPr baseColWidth="10" defaultColWidth="11.42578125" defaultRowHeight="15" x14ac:dyDescent="0.25"/>
  <cols>
    <col min="1" max="1" width="2.42578125" customWidth="1"/>
    <col min="2" max="2" width="17.5703125" customWidth="1"/>
    <col min="3" max="3" width="23.42578125" customWidth="1"/>
    <col min="4" max="4" width="17.140625" customWidth="1"/>
    <col min="5" max="5" width="12.140625" customWidth="1"/>
    <col min="6" max="6" width="17.42578125" customWidth="1"/>
    <col min="7" max="7" width="18.85546875" customWidth="1"/>
    <col min="8" max="8" width="16.85546875" customWidth="1"/>
    <col min="9" max="9" width="18.28515625" customWidth="1"/>
    <col min="10" max="10" width="20.7109375" customWidth="1"/>
    <col min="11" max="11" width="13" customWidth="1"/>
    <col min="12" max="12" width="13.42578125" customWidth="1"/>
    <col min="13" max="13" width="8.5703125" customWidth="1"/>
    <col min="14" max="14" width="13.5703125" customWidth="1"/>
    <col min="15" max="15" width="10" customWidth="1"/>
    <col min="16" max="16" width="13.5703125" bestFit="1" customWidth="1"/>
    <col min="19" max="19" width="14.140625" customWidth="1"/>
  </cols>
  <sheetData>
    <row r="1" spans="2:41" s="37" customFormat="1" ht="27" customHeight="1" x14ac:dyDescent="0.2">
      <c r="B1" s="46" t="s">
        <v>2</v>
      </c>
      <c r="C1" s="46" t="s">
        <v>3</v>
      </c>
      <c r="D1" s="46" t="s">
        <v>4</v>
      </c>
      <c r="E1" s="46" t="s">
        <v>5</v>
      </c>
      <c r="F1" s="46" t="s">
        <v>22</v>
      </c>
      <c r="G1" s="46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46" t="s">
        <v>50</v>
      </c>
      <c r="R1" s="46" t="s">
        <v>51</v>
      </c>
      <c r="S1" s="46" t="s">
        <v>52</v>
      </c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</row>
    <row r="2" spans="2:41" ht="17.25" customHeight="1" x14ac:dyDescent="0.25">
      <c r="B2" s="39" t="s">
        <v>73</v>
      </c>
      <c r="C2" s="40" t="s">
        <v>74</v>
      </c>
      <c r="D2" s="41" t="s">
        <v>56</v>
      </c>
      <c r="E2" s="39" t="s">
        <v>75</v>
      </c>
      <c r="F2" s="39" t="s">
        <v>76</v>
      </c>
      <c r="G2" s="42" t="s">
        <v>77</v>
      </c>
      <c r="H2" s="39" t="s">
        <v>78</v>
      </c>
      <c r="I2" s="43">
        <v>46049.69189814815</v>
      </c>
      <c r="J2" s="43">
        <v>46049.696828703702</v>
      </c>
      <c r="K2" s="44">
        <v>252101</v>
      </c>
      <c r="L2" s="44">
        <v>0</v>
      </c>
      <c r="M2" s="44">
        <v>0</v>
      </c>
      <c r="N2" s="44">
        <v>47899.19</v>
      </c>
      <c r="O2" s="44">
        <v>0</v>
      </c>
      <c r="P2" s="44">
        <v>300000.19</v>
      </c>
      <c r="Q2" s="42" t="s">
        <v>97</v>
      </c>
      <c r="R2" s="42" t="s">
        <v>97</v>
      </c>
      <c r="S2" s="45">
        <f>+P2</f>
        <v>300000.19</v>
      </c>
    </row>
    <row r="3" spans="2:41" ht="17.25" customHeight="1" x14ac:dyDescent="0.25">
      <c r="B3" s="39" t="s">
        <v>79</v>
      </c>
      <c r="C3" s="40" t="s">
        <v>80</v>
      </c>
      <c r="D3" s="41" t="s">
        <v>56</v>
      </c>
      <c r="E3" s="39" t="s">
        <v>75</v>
      </c>
      <c r="F3" s="39" t="s">
        <v>76</v>
      </c>
      <c r="G3" s="42" t="s">
        <v>81</v>
      </c>
      <c r="H3" s="39" t="s">
        <v>82</v>
      </c>
      <c r="I3" s="43">
        <v>46045.481956018521</v>
      </c>
      <c r="J3" s="43">
        <v>46045.487280092595</v>
      </c>
      <c r="K3" s="44">
        <v>1316842</v>
      </c>
      <c r="L3" s="44">
        <v>0</v>
      </c>
      <c r="M3" s="44">
        <v>0</v>
      </c>
      <c r="N3" s="44">
        <v>250199.98</v>
      </c>
      <c r="O3" s="44">
        <v>0</v>
      </c>
      <c r="P3" s="44">
        <v>1567041.98</v>
      </c>
      <c r="Q3" s="42" t="s">
        <v>97</v>
      </c>
      <c r="R3" s="42" t="s">
        <v>97</v>
      </c>
      <c r="S3" s="45">
        <f t="shared" ref="S3:S6" si="0">+P3</f>
        <v>1567041.98</v>
      </c>
    </row>
    <row r="4" spans="2:41" ht="17.25" customHeight="1" x14ac:dyDescent="0.25">
      <c r="B4" s="39" t="s">
        <v>83</v>
      </c>
      <c r="C4" s="40" t="s">
        <v>84</v>
      </c>
      <c r="D4" s="41" t="s">
        <v>56</v>
      </c>
      <c r="E4" s="39" t="s">
        <v>75</v>
      </c>
      <c r="F4" s="39" t="s">
        <v>76</v>
      </c>
      <c r="G4" s="42" t="s">
        <v>85</v>
      </c>
      <c r="H4" s="39" t="s">
        <v>86</v>
      </c>
      <c r="I4" s="43">
        <v>46038.687708333331</v>
      </c>
      <c r="J4" s="43">
        <v>46038.709131944444</v>
      </c>
      <c r="K4" s="44">
        <v>1020000</v>
      </c>
      <c r="L4" s="44">
        <v>0</v>
      </c>
      <c r="M4" s="44">
        <v>0</v>
      </c>
      <c r="N4" s="44">
        <v>193800</v>
      </c>
      <c r="O4" s="44">
        <v>0</v>
      </c>
      <c r="P4" s="44">
        <v>1213800</v>
      </c>
      <c r="Q4" s="42" t="s">
        <v>97</v>
      </c>
      <c r="R4" s="42" t="s">
        <v>97</v>
      </c>
      <c r="S4" s="45">
        <f t="shared" si="0"/>
        <v>1213800</v>
      </c>
    </row>
    <row r="5" spans="2:41" ht="17.25" customHeight="1" x14ac:dyDescent="0.25">
      <c r="B5" s="39" t="s">
        <v>87</v>
      </c>
      <c r="C5" s="40" t="s">
        <v>88</v>
      </c>
      <c r="D5" s="41" t="s">
        <v>56</v>
      </c>
      <c r="E5" s="39" t="s">
        <v>75</v>
      </c>
      <c r="F5" s="39" t="s">
        <v>76</v>
      </c>
      <c r="G5" s="42" t="s">
        <v>89</v>
      </c>
      <c r="H5" s="39" t="s">
        <v>90</v>
      </c>
      <c r="I5" s="43">
        <v>46038.66909722222</v>
      </c>
      <c r="J5" s="43">
        <v>46038.701307870368</v>
      </c>
      <c r="K5" s="44">
        <v>415000</v>
      </c>
      <c r="L5" s="44">
        <v>0</v>
      </c>
      <c r="M5" s="44">
        <v>0</v>
      </c>
      <c r="N5" s="44">
        <v>78850</v>
      </c>
      <c r="O5" s="44">
        <v>0</v>
      </c>
      <c r="P5" s="44">
        <v>493850</v>
      </c>
      <c r="Q5" s="42" t="s">
        <v>97</v>
      </c>
      <c r="R5" s="42" t="s">
        <v>97</v>
      </c>
      <c r="S5" s="45">
        <f t="shared" si="0"/>
        <v>493850</v>
      </c>
    </row>
    <row r="6" spans="2:41" ht="17.25" customHeight="1" x14ac:dyDescent="0.25">
      <c r="B6" s="39" t="s">
        <v>91</v>
      </c>
      <c r="C6" s="40" t="s">
        <v>92</v>
      </c>
      <c r="D6" s="41" t="s">
        <v>56</v>
      </c>
      <c r="E6" s="39" t="s">
        <v>75</v>
      </c>
      <c r="F6" s="39" t="s">
        <v>76</v>
      </c>
      <c r="G6" s="42" t="s">
        <v>93</v>
      </c>
      <c r="H6" s="39" t="s">
        <v>94</v>
      </c>
      <c r="I6" s="43">
        <v>46031.682650462964</v>
      </c>
      <c r="J6" s="43">
        <v>46031.690833333334</v>
      </c>
      <c r="K6" s="44">
        <v>520000</v>
      </c>
      <c r="L6" s="44">
        <v>0</v>
      </c>
      <c r="M6" s="44">
        <v>0</v>
      </c>
      <c r="N6" s="44">
        <v>98800</v>
      </c>
      <c r="O6" s="44">
        <v>0</v>
      </c>
      <c r="P6" s="44">
        <v>618800</v>
      </c>
      <c r="Q6" s="42" t="s">
        <v>97</v>
      </c>
      <c r="R6" s="42" t="s">
        <v>97</v>
      </c>
      <c r="S6" s="45">
        <f t="shared" si="0"/>
        <v>618800</v>
      </c>
    </row>
    <row r="7" spans="2:41" ht="15.75" thickBot="1" x14ac:dyDescent="0.3">
      <c r="B7" s="30" t="s">
        <v>55</v>
      </c>
      <c r="C7" s="29"/>
      <c r="D7" s="56">
        <f>COUNTA(D2:D6)</f>
        <v>5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31"/>
      <c r="Q7" s="29"/>
      <c r="R7" s="29"/>
      <c r="S7" s="55">
        <f>SUM(S2:S6)</f>
        <v>4193492.17</v>
      </c>
    </row>
  </sheetData>
  <pageMargins left="0.7" right="0.7" top="0.75" bottom="0.75" header="0.3" footer="0.3"/>
  <pageSetup paperSize="2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Reporte</vt:lpstr>
      <vt:lpstr>PPTO HISTORICO</vt:lpstr>
      <vt:lpstr>OC Acumulado</vt:lpstr>
      <vt:lpstr>Compras Mayo</vt:lpstr>
      <vt:lpstr>Compras Abril</vt:lpstr>
      <vt:lpstr>Compras Marzo</vt:lpstr>
      <vt:lpstr>Compras Febrero</vt:lpstr>
      <vt:lpstr>Compras 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Díaz Sánchez</dc:creator>
  <cp:lastModifiedBy>Claudia Muñoz González</cp:lastModifiedBy>
  <dcterms:created xsi:type="dcterms:W3CDTF">2020-08-13T19:18:33Z</dcterms:created>
  <dcterms:modified xsi:type="dcterms:W3CDTF">2026-06-01T13:43:53Z</dcterms:modified>
</cp:coreProperties>
</file>